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showInkAnnotation="0" codeName="ThisWorkbook"/>
  <mc:AlternateContent xmlns:mc="http://schemas.openxmlformats.org/markup-compatibility/2006">
    <mc:Choice Requires="x15">
      <x15ac:absPath xmlns:x15ac="http://schemas.microsoft.com/office/spreadsheetml/2010/11/ac" url="C:\Users\wilsonw3\Documents\Application Maintenance\PY24 updates\From TN Group\Checked WW\"/>
    </mc:Choice>
  </mc:AlternateContent>
  <xr:revisionPtr revIDLastSave="0" documentId="13_ncr:1_{C79BC5E5-1B9D-49D5-8480-365911D1FEF4}" xr6:coauthVersionLast="47" xr6:coauthVersionMax="47" xr10:uidLastSave="{00000000-0000-0000-0000-000000000000}"/>
  <bookViews>
    <workbookView xWindow="-120" yWindow="-16320" windowWidth="29040" windowHeight="15840" tabRatio="857" xr2:uid="{00000000-000D-0000-FFFF-FFFF00000000}"/>
  </bookViews>
  <sheets>
    <sheet name="INSTRUCTIONS" sheetId="1" r:id="rId1"/>
    <sheet name="TERMS AND CONDITIONS" sheetId="15" r:id="rId2"/>
    <sheet name="AGREEMENT" sheetId="22" r:id="rId3"/>
    <sheet name="PROJECT INFO" sheetId="11" r:id="rId4"/>
    <sheet name="SUMMARY" sheetId="2" r:id="rId5"/>
    <sheet name="Lighting-Step1" sheetId="6" r:id="rId6"/>
    <sheet name="Lighting-Step2" sheetId="17" r:id="rId7"/>
    <sheet name="Lighting-Step3" sheetId="20" r:id="rId8"/>
    <sheet name="HVAC-Heating" sheetId="3" r:id="rId9"/>
    <sheet name="HVAC-Cooling" sheetId="4" r:id="rId10"/>
    <sheet name="Hot Water" sheetId="5" r:id="rId11"/>
    <sheet name="Custom-Electric" sheetId="7" r:id="rId12"/>
    <sheet name="Custom-Gas" sheetId="18" r:id="rId13"/>
    <sheet name="Custom-Water" sheetId="19" r:id="rId14"/>
    <sheet name="Hospitality" sheetId="8" r:id="rId15"/>
    <sheet name="Refrigeration" sheetId="21" r:id="rId16"/>
    <sheet name="Industrial" sheetId="10" r:id="rId17"/>
    <sheet name="Measure Data" sheetId="14" state="hidden" r:id="rId18"/>
  </sheets>
  <definedNames>
    <definedName name="AreaSize">'Lighting-Step2'!$J$35:$J$234</definedName>
    <definedName name="AreaUnit">'Lighting-Step2'!$K$35:$K$234</definedName>
    <definedName name="CabinetSizes">'Measure Data'!$E$88:$E$90</definedName>
    <definedName name="CF">'Lighting-Step2'!$V$35:$V$234</definedName>
    <definedName name="ControlTypes">Table12[Proposed Controls]</definedName>
    <definedName name="Cooling">'Lighting-Step2'!$H$35:$H$234</definedName>
    <definedName name="DemandSavings">'Lighting-Step2'!$AB$35:$AB$234</definedName>
    <definedName name="DesignPhase">Table3[DESIGN PHASE]</definedName>
    <definedName name="EFLH_actual">'PROJECT INFO'!$B$42</definedName>
    <definedName name="EFLH_deemed">'Lighting-Step2'!$AA$35:$AA$234</definedName>
    <definedName name="ElectricPans">'Measure Data'!$D$128:$D$131</definedName>
    <definedName name="ESFb">'Lighting-Step2'!$Y$35:$Y$234</definedName>
    <definedName name="ESFee">'Lighting-Step2'!$Z$35:$Z$234</definedName>
    <definedName name="ESFtable">Table17[]</definedName>
    <definedName name="ExteriorLoad">'Lighting-Step2'!$U$35:$U$234</definedName>
    <definedName name="ExteriorTable">Table13[]</definedName>
    <definedName name="ExteriorTypes">'Lighting-Step2'!$AJ$56:$AJ$74</definedName>
    <definedName name="FacilityTypes">Table4[FACILITY TYPES]</definedName>
    <definedName name="FixtureNum">'Lighting-Step2'!$O$35:$O$234</definedName>
    <definedName name="FixtureNumbers">'Lighting-Step1'!$B$14:$B$213</definedName>
    <definedName name="FixtureTable">'Lighting-Step1'!$B$14:$F$213</definedName>
    <definedName name="FixtureTypes">Table6[Fixture Types]</definedName>
    <definedName name="Floor">'Lighting-Step2'!$D$35:$D$234</definedName>
    <definedName name="FuelType">#REF!</definedName>
    <definedName name="GasPans">'Measure Data'!$D$132:$D$133</definedName>
    <definedName name="Heating">'Lighting-Step2'!$I$35:$I$234</definedName>
    <definedName name="HospitalitySubcategories">'Measure Data'!$C$78:$C$83</definedName>
    <definedName name="HVACsystem">Table5[HVAC SYSTEM TYPE]</definedName>
    <definedName name="ineligibleExteriorKWee">'Lighting-Step3'!$G$13</definedName>
    <definedName name="ineligibleInteriorKWee">'Lighting-Step3'!$G$11</definedName>
    <definedName name="InOrOut">Table14[[ Interior or Exterior]]</definedName>
    <definedName name="Installation">Table1[INSTALLATION TYPE]</definedName>
    <definedName name="InteriorCooling">Table15[Area Cooling]</definedName>
    <definedName name="InteriorHeating">Table8[Area Heating]</definedName>
    <definedName name="InteriorLoad">'Lighting-Step2'!$T$35:$T$234</definedName>
    <definedName name="InteriorTable">Table9[]</definedName>
    <definedName name="InteriorTypes">'Lighting-Step2'!$AJ$4:$AJ$46</definedName>
    <definedName name="IntExt">'Lighting-Step2'!$E$35:$E$234</definedName>
    <definedName name="isCustomPublic">Table25[isCustomPublic]</definedName>
    <definedName name="isDS2">Table20[isDS2]</definedName>
    <definedName name="isEligible">'Lighting-Step2'!$AD$35:$AD$234</definedName>
    <definedName name="isGS2">Table2025[isGS2]</definedName>
    <definedName name="isPublic">Table11[isPublic]</definedName>
    <definedName name="kAlt">'Measure Data'!$F$72</definedName>
    <definedName name="kLimit">'Measure Data'!$E$72</definedName>
    <definedName name="kWbase">'Lighting-Step2'!$M$35:$M$234</definedName>
    <definedName name="kWee">'Lighting-Step2'!$Q$35:$Q$234</definedName>
    <definedName name="kWhSavings">'Lighting-Step2'!$AC$35:$AC$234</definedName>
    <definedName name="LightingRate">'Lighting-Step3'!$G$9</definedName>
    <definedName name="LightingZone">Table7[Selected Lighting Zone]</definedName>
    <definedName name="Location">'Lighting-Step2'!$C$35:$C$234</definedName>
    <definedName name="LPDb">'Lighting-Step2'!$L$35:$L$234</definedName>
    <definedName name="NewExisting">Table2[NEW-EXISTING BUILDING]</definedName>
    <definedName name="_xlnm.Print_Area" localSheetId="2">AGREEMENT!$A$1:$I$53</definedName>
    <definedName name="_xlnm.Print_Area" localSheetId="0">INSTRUCTIONS!$A$1:$F$49</definedName>
    <definedName name="privElec">'Measure Data'!$J$72</definedName>
    <definedName name="privGas">'Measure Data'!$J$73</definedName>
    <definedName name="privWat">'Measure Data'!$J$74</definedName>
    <definedName name="PropControlType">'Lighting-Step2'!$R$35:$R$234</definedName>
    <definedName name="ProposedQty">'Lighting-Step2'!$N$35:$N$234</definedName>
    <definedName name="pubElec">'Measure Data'!$I$72</definedName>
    <definedName name="pubGas">'Measure Data'!$I$73</definedName>
    <definedName name="pubWat">'Measure Data'!$I$74</definedName>
    <definedName name="Sector">Table10[SECTOR]</definedName>
    <definedName name="Sector2">Table10[]</definedName>
    <definedName name="SpaceType">'Lighting-Step2'!$F$35:$F$234</definedName>
    <definedName name="sqft">Table16[Shortcut for ft^2 (type "sqft")]</definedName>
    <definedName name="sumExteriorKWee">'Lighting-Step3'!$G$12</definedName>
    <definedName name="sumInteriorKWee">'Lighting-Step3'!$G$10</definedName>
    <definedName name="tAlt">'Measure Data'!$F$73</definedName>
    <definedName name="TierTable">Table19[#All]</definedName>
    <definedName name="tLimit">'Measure Data'!$E$73</definedName>
    <definedName name="WHFd">'Lighting-Step2'!$W$35:$W$234</definedName>
    <definedName name="WHFe">'Lighting-Step2'!$X$35:$X$234</definedName>
    <definedName name="WperFixture">'Lighting-Step2'!$P$35:$P$234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7" l="1"/>
  <c r="O21" i="11"/>
  <c r="E117" i="2"/>
  <c r="E116" i="2"/>
  <c r="K75" i="2"/>
  <c r="K74" i="2"/>
  <c r="O18" i="11" l="1"/>
  <c r="E36" i="11" l="1"/>
  <c r="I74" i="2"/>
  <c r="I76" i="2"/>
  <c r="I75" i="2"/>
  <c r="D41" i="7"/>
  <c r="J23" i="19" l="1"/>
  <c r="J22" i="19"/>
  <c r="H23" i="19"/>
  <c r="H22" i="19"/>
  <c r="F23" i="19"/>
  <c r="F22" i="19"/>
  <c r="J36" i="7"/>
  <c r="H36" i="7"/>
  <c r="F36" i="7"/>
  <c r="J35" i="7"/>
  <c r="H35" i="7"/>
  <c r="F35" i="7"/>
  <c r="J35" i="18"/>
  <c r="H35" i="18"/>
  <c r="F35" i="18"/>
  <c r="J36" i="18"/>
  <c r="H36" i="18"/>
  <c r="F36" i="18"/>
  <c r="J41" i="18"/>
  <c r="J33" i="18"/>
  <c r="H41" i="18"/>
  <c r="H33" i="18"/>
  <c r="F41" i="18"/>
  <c r="F33" i="18"/>
  <c r="J30" i="18"/>
  <c r="H30" i="18"/>
  <c r="F30" i="18"/>
  <c r="J24" i="18"/>
  <c r="H24" i="18"/>
  <c r="F24" i="18"/>
  <c r="J34" i="18" l="1"/>
  <c r="F34" i="18"/>
  <c r="H34" i="18"/>
  <c r="H24" i="19"/>
  <c r="H25" i="19" s="1"/>
  <c r="J24" i="19"/>
  <c r="J25" i="19" s="1"/>
  <c r="F24" i="19"/>
  <c r="F25" i="19" s="1"/>
  <c r="J30" i="7"/>
  <c r="H30" i="7"/>
  <c r="F30" i="7"/>
  <c r="J24" i="7"/>
  <c r="H24" i="7"/>
  <c r="F24" i="7"/>
  <c r="J41" i="7"/>
  <c r="H41" i="7"/>
  <c r="F41" i="7"/>
  <c r="J33" i="7"/>
  <c r="H33" i="7"/>
  <c r="F33" i="7"/>
  <c r="I36" i="17"/>
  <c r="H36" i="17"/>
  <c r="J37" i="18" l="1"/>
  <c r="J45" i="18" s="1"/>
  <c r="H37" i="18"/>
  <c r="H45" i="18" s="1"/>
  <c r="F37" i="18"/>
  <c r="F45" i="18" s="1"/>
  <c r="H34" i="7"/>
  <c r="H37" i="7" s="1"/>
  <c r="H45" i="7" s="1"/>
  <c r="J34" i="7"/>
  <c r="J37" i="7" s="1"/>
  <c r="J45" i="7" s="1"/>
  <c r="F34" i="7"/>
  <c r="J42" i="18" l="1"/>
  <c r="J46" i="18" s="1"/>
  <c r="H42" i="18"/>
  <c r="H46" i="18" s="1"/>
  <c r="F42" i="18"/>
  <c r="F46" i="18" s="1"/>
  <c r="F37" i="7"/>
  <c r="F45" i="7" s="1"/>
  <c r="J42" i="7"/>
  <c r="H42" i="7"/>
  <c r="F42" i="7" l="1"/>
  <c r="F46" i="7" s="1"/>
  <c r="J46" i="7"/>
  <c r="H46" i="7"/>
  <c r="C10" i="20"/>
  <c r="I43" i="17" l="1"/>
  <c r="H43" i="17"/>
  <c r="I42" i="17"/>
  <c r="H42" i="17"/>
  <c r="I41" i="17"/>
  <c r="H41" i="17"/>
  <c r="I40" i="17"/>
  <c r="H40" i="17"/>
  <c r="I39" i="17"/>
  <c r="H39" i="17"/>
  <c r="I38" i="17"/>
  <c r="H38" i="17"/>
  <c r="I37" i="17"/>
  <c r="H37" i="17"/>
  <c r="H44" i="17" l="1"/>
  <c r="H45" i="17"/>
  <c r="H46" i="17"/>
  <c r="H47" i="17"/>
  <c r="H48" i="17"/>
  <c r="H49" i="17"/>
  <c r="H50"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H76" i="17"/>
  <c r="H77" i="17"/>
  <c r="H78" i="17"/>
  <c r="H79" i="17"/>
  <c r="H80" i="17"/>
  <c r="H81" i="17"/>
  <c r="H82" i="17"/>
  <c r="H83" i="17"/>
  <c r="H84" i="17"/>
  <c r="H85" i="17"/>
  <c r="H86" i="17"/>
  <c r="H87" i="17"/>
  <c r="H88" i="17"/>
  <c r="H89" i="17"/>
  <c r="H90" i="17"/>
  <c r="H91" i="17"/>
  <c r="H92" i="17"/>
  <c r="H93" i="17"/>
  <c r="H94" i="17"/>
  <c r="H95" i="17"/>
  <c r="H96" i="17"/>
  <c r="H97" i="17"/>
  <c r="H98" i="17"/>
  <c r="H99" i="17"/>
  <c r="H100" i="17"/>
  <c r="H101" i="17"/>
  <c r="H102" i="17"/>
  <c r="H103" i="17"/>
  <c r="H104" i="17"/>
  <c r="H105" i="17"/>
  <c r="H106" i="17"/>
  <c r="H107" i="17"/>
  <c r="H108" i="17"/>
  <c r="H109" i="17"/>
  <c r="H110" i="17"/>
  <c r="H111" i="17"/>
  <c r="H112" i="17"/>
  <c r="H113" i="17"/>
  <c r="H114" i="17"/>
  <c r="H115" i="17"/>
  <c r="H116" i="17"/>
  <c r="H117" i="17"/>
  <c r="H118" i="17"/>
  <c r="H119" i="17"/>
  <c r="H120" i="17"/>
  <c r="H121" i="17"/>
  <c r="H122" i="17"/>
  <c r="H123" i="17"/>
  <c r="H124" i="17"/>
  <c r="H125" i="17"/>
  <c r="H126" i="17"/>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85" i="17"/>
  <c r="H186" i="17"/>
  <c r="H187" i="17"/>
  <c r="H188" i="17"/>
  <c r="H189" i="17"/>
  <c r="H190" i="17"/>
  <c r="H191" i="17"/>
  <c r="H192" i="17"/>
  <c r="H193" i="17"/>
  <c r="H194" i="17"/>
  <c r="H195" i="17"/>
  <c r="H196" i="17"/>
  <c r="H197" i="17"/>
  <c r="H198" i="17"/>
  <c r="H199" i="17"/>
  <c r="H200" i="17"/>
  <c r="H201" i="17"/>
  <c r="H202" i="17"/>
  <c r="H203" i="17"/>
  <c r="H204" i="17"/>
  <c r="H205" i="17"/>
  <c r="H206" i="17"/>
  <c r="H207" i="17"/>
  <c r="H208" i="17"/>
  <c r="H209" i="17"/>
  <c r="H210" i="17"/>
  <c r="H211" i="17"/>
  <c r="H212" i="17"/>
  <c r="H213" i="17"/>
  <c r="H214" i="17"/>
  <c r="H215" i="17"/>
  <c r="H216" i="17"/>
  <c r="H217" i="17"/>
  <c r="H218" i="17"/>
  <c r="H219" i="17"/>
  <c r="H220" i="17"/>
  <c r="H221" i="17"/>
  <c r="H222" i="17"/>
  <c r="H223" i="17"/>
  <c r="H224" i="17"/>
  <c r="H225" i="17"/>
  <c r="H226" i="17"/>
  <c r="H227" i="17"/>
  <c r="H228" i="17"/>
  <c r="H229" i="17"/>
  <c r="H230" i="17"/>
  <c r="H231" i="17"/>
  <c r="H232" i="17"/>
  <c r="H233" i="17"/>
  <c r="H234" i="17"/>
  <c r="B19" i="20" l="1"/>
  <c r="AA35" i="17" l="1"/>
  <c r="W39" i="17"/>
  <c r="X39" i="17"/>
  <c r="X35" i="17"/>
  <c r="W35" i="17"/>
  <c r="B37" i="3" l="1"/>
  <c r="B24" i="3"/>
  <c r="B12" i="3"/>
  <c r="I44" i="17"/>
  <c r="I45" i="17"/>
  <c r="I46" i="17"/>
  <c r="I47" i="17"/>
  <c r="I48" i="17"/>
  <c r="I49" i="17"/>
  <c r="I50"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4" i="17"/>
  <c r="I85" i="17"/>
  <c r="I86" i="17"/>
  <c r="I87" i="17"/>
  <c r="I88" i="17"/>
  <c r="I89" i="17"/>
  <c r="I90" i="17"/>
  <c r="I91" i="17"/>
  <c r="I92" i="17"/>
  <c r="I93" i="17"/>
  <c r="I94" i="17"/>
  <c r="I95" i="17"/>
  <c r="I96" i="17"/>
  <c r="I97" i="17"/>
  <c r="I98" i="17"/>
  <c r="I99" i="17"/>
  <c r="I100" i="17"/>
  <c r="I101" i="17"/>
  <c r="I102" i="17"/>
  <c r="I103" i="17"/>
  <c r="I104" i="17"/>
  <c r="I105" i="17"/>
  <c r="I106" i="17"/>
  <c r="I107" i="17"/>
  <c r="I108" i="17"/>
  <c r="I109" i="17"/>
  <c r="I110" i="17"/>
  <c r="I111" i="17"/>
  <c r="I112" i="17"/>
  <c r="I113" i="17"/>
  <c r="I114" i="17"/>
  <c r="I115" i="17"/>
  <c r="I116" i="17"/>
  <c r="I117" i="17"/>
  <c r="I118" i="17"/>
  <c r="I119" i="17"/>
  <c r="I120" i="17"/>
  <c r="I121" i="17"/>
  <c r="I122" i="17"/>
  <c r="I123" i="17"/>
  <c r="I124" i="17"/>
  <c r="I125" i="17"/>
  <c r="I126" i="17"/>
  <c r="I127" i="17"/>
  <c r="I128" i="17"/>
  <c r="I129" i="17"/>
  <c r="I130" i="17"/>
  <c r="I131" i="17"/>
  <c r="I132" i="17"/>
  <c r="I133" i="17"/>
  <c r="I134" i="17"/>
  <c r="I135" i="17"/>
  <c r="I136" i="17"/>
  <c r="I137" i="17"/>
  <c r="I138" i="17"/>
  <c r="I139" i="17"/>
  <c r="I140" i="17"/>
  <c r="I141" i="17"/>
  <c r="I142" i="17"/>
  <c r="I143" i="17"/>
  <c r="I144" i="17"/>
  <c r="I145" i="17"/>
  <c r="I146" i="17"/>
  <c r="I147" i="17"/>
  <c r="I148" i="17"/>
  <c r="I149" i="17"/>
  <c r="I150" i="17"/>
  <c r="I151" i="17"/>
  <c r="I152" i="17"/>
  <c r="I153" i="17"/>
  <c r="I154" i="17"/>
  <c r="I155" i="17"/>
  <c r="I156" i="17"/>
  <c r="I157" i="17"/>
  <c r="I158" i="17"/>
  <c r="I159" i="17"/>
  <c r="I160" i="17"/>
  <c r="I161" i="17"/>
  <c r="I162" i="17"/>
  <c r="I163" i="17"/>
  <c r="I164" i="17"/>
  <c r="I165" i="17"/>
  <c r="I166" i="17"/>
  <c r="I167" i="17"/>
  <c r="I168" i="17"/>
  <c r="I169" i="17"/>
  <c r="I170" i="17"/>
  <c r="I171" i="17"/>
  <c r="I172" i="17"/>
  <c r="I173" i="17"/>
  <c r="I174" i="17"/>
  <c r="I175" i="17"/>
  <c r="I176" i="17"/>
  <c r="I177" i="17"/>
  <c r="I178" i="17"/>
  <c r="I179" i="17"/>
  <c r="I180" i="17"/>
  <c r="I181" i="17"/>
  <c r="I182" i="17"/>
  <c r="I183" i="17"/>
  <c r="I184" i="17"/>
  <c r="I185" i="17"/>
  <c r="I186" i="17"/>
  <c r="I187" i="17"/>
  <c r="I188" i="17"/>
  <c r="I189" i="17"/>
  <c r="I190" i="17"/>
  <c r="I191" i="17"/>
  <c r="I192" i="17"/>
  <c r="I193" i="17"/>
  <c r="I194" i="17"/>
  <c r="I195" i="17"/>
  <c r="I196" i="17"/>
  <c r="I197" i="17"/>
  <c r="I198" i="17"/>
  <c r="I199" i="17"/>
  <c r="I200" i="17"/>
  <c r="I201" i="17"/>
  <c r="I202" i="17"/>
  <c r="I203" i="17"/>
  <c r="I204" i="17"/>
  <c r="I205" i="17"/>
  <c r="I206" i="17"/>
  <c r="I207" i="17"/>
  <c r="I208" i="17"/>
  <c r="I209" i="17"/>
  <c r="I210" i="17"/>
  <c r="I211" i="17"/>
  <c r="I212" i="17"/>
  <c r="I213" i="17"/>
  <c r="I214" i="17"/>
  <c r="I215" i="17"/>
  <c r="I216" i="17"/>
  <c r="I217" i="17"/>
  <c r="I218" i="17"/>
  <c r="I219" i="17"/>
  <c r="I220" i="17"/>
  <c r="I221" i="17"/>
  <c r="I222" i="17"/>
  <c r="I223" i="17"/>
  <c r="I224" i="17"/>
  <c r="I225" i="17"/>
  <c r="I226" i="17"/>
  <c r="I227" i="17"/>
  <c r="I228" i="17"/>
  <c r="I229" i="17"/>
  <c r="I230" i="17"/>
  <c r="I231" i="17"/>
  <c r="I232" i="17"/>
  <c r="I233" i="17"/>
  <c r="I234" i="17"/>
  <c r="Y36" i="17"/>
  <c r="Z36" i="17" s="1"/>
  <c r="Y37" i="17"/>
  <c r="Z37" i="17" s="1"/>
  <c r="Y38" i="17"/>
  <c r="Z38" i="17" s="1"/>
  <c r="Y39" i="17"/>
  <c r="Z39" i="17" s="1"/>
  <c r="Y40" i="17"/>
  <c r="Z40" i="17" s="1"/>
  <c r="Y41" i="17"/>
  <c r="Z41" i="17" s="1"/>
  <c r="Y42" i="17"/>
  <c r="Z42" i="17" s="1"/>
  <c r="Y43" i="17"/>
  <c r="Z43" i="17" s="1"/>
  <c r="Y44" i="17"/>
  <c r="Z44" i="17" s="1"/>
  <c r="Y45" i="17"/>
  <c r="Z45" i="17" s="1"/>
  <c r="Y46" i="17"/>
  <c r="Z46" i="17" s="1"/>
  <c r="Y47" i="17"/>
  <c r="Z47" i="17" s="1"/>
  <c r="Y48" i="17"/>
  <c r="Z48" i="17" s="1"/>
  <c r="Y49" i="17"/>
  <c r="Z49" i="17" s="1"/>
  <c r="Y50" i="17"/>
  <c r="Z50" i="17" s="1"/>
  <c r="Y51" i="17"/>
  <c r="Z51" i="17" s="1"/>
  <c r="Y52" i="17"/>
  <c r="Z52" i="17" s="1"/>
  <c r="Y53" i="17"/>
  <c r="Z53" i="17" s="1"/>
  <c r="Y54" i="17"/>
  <c r="Z54" i="17" s="1"/>
  <c r="Y55" i="17"/>
  <c r="Z55" i="17" s="1"/>
  <c r="Y56" i="17"/>
  <c r="Z56" i="17" s="1"/>
  <c r="Y57" i="17"/>
  <c r="Z57" i="17" s="1"/>
  <c r="Y58" i="17"/>
  <c r="Z58" i="17" s="1"/>
  <c r="Y59" i="17"/>
  <c r="Z59" i="17" s="1"/>
  <c r="Y60" i="17"/>
  <c r="Z60" i="17" s="1"/>
  <c r="Y61" i="17"/>
  <c r="Z61" i="17" s="1"/>
  <c r="Y62" i="17"/>
  <c r="Z62" i="17" s="1"/>
  <c r="Y63" i="17"/>
  <c r="Z63" i="17" s="1"/>
  <c r="Y64" i="17"/>
  <c r="Z64" i="17" s="1"/>
  <c r="Y65" i="17"/>
  <c r="Z65" i="17" s="1"/>
  <c r="Y66" i="17"/>
  <c r="Z66" i="17" s="1"/>
  <c r="Y67" i="17"/>
  <c r="Z67" i="17" s="1"/>
  <c r="Y68" i="17"/>
  <c r="Z68" i="17" s="1"/>
  <c r="Y69" i="17"/>
  <c r="Z69" i="17" s="1"/>
  <c r="Y70" i="17"/>
  <c r="Z70" i="17" s="1"/>
  <c r="Y71" i="17"/>
  <c r="Z71" i="17" s="1"/>
  <c r="Y72" i="17"/>
  <c r="Z72" i="17" s="1"/>
  <c r="Y73" i="17"/>
  <c r="Z73" i="17" s="1"/>
  <c r="Y74" i="17"/>
  <c r="Z74" i="17" s="1"/>
  <c r="Y75" i="17"/>
  <c r="Z75" i="17" s="1"/>
  <c r="Y76" i="17"/>
  <c r="Z76" i="17" s="1"/>
  <c r="Y77" i="17"/>
  <c r="Z77" i="17" s="1"/>
  <c r="Y78" i="17"/>
  <c r="Z78" i="17" s="1"/>
  <c r="Y79" i="17"/>
  <c r="Z79" i="17" s="1"/>
  <c r="Y80" i="17"/>
  <c r="Z80" i="17" s="1"/>
  <c r="Y81" i="17"/>
  <c r="Z81" i="17" s="1"/>
  <c r="Y82" i="17"/>
  <c r="Z82" i="17" s="1"/>
  <c r="Y83" i="17"/>
  <c r="Z83" i="17" s="1"/>
  <c r="Y84" i="17"/>
  <c r="Z84" i="17" s="1"/>
  <c r="Y85" i="17"/>
  <c r="Z85" i="17" s="1"/>
  <c r="Y86" i="17"/>
  <c r="Z86" i="17" s="1"/>
  <c r="Y87" i="17"/>
  <c r="Z87" i="17" s="1"/>
  <c r="Y88" i="17"/>
  <c r="Z88" i="17" s="1"/>
  <c r="Y89" i="17"/>
  <c r="Z89" i="17" s="1"/>
  <c r="Y90" i="17"/>
  <c r="Z90" i="17" s="1"/>
  <c r="Y91" i="17"/>
  <c r="Z91" i="17" s="1"/>
  <c r="Y92" i="17"/>
  <c r="Z92" i="17" s="1"/>
  <c r="Y93" i="17"/>
  <c r="Z93" i="17" s="1"/>
  <c r="Y94" i="17"/>
  <c r="Z94" i="17" s="1"/>
  <c r="Y95" i="17"/>
  <c r="Z95" i="17" s="1"/>
  <c r="Y96" i="17"/>
  <c r="Z96" i="17" s="1"/>
  <c r="Y97" i="17"/>
  <c r="Z97" i="17" s="1"/>
  <c r="Y98" i="17"/>
  <c r="Z98" i="17" s="1"/>
  <c r="Y99" i="17"/>
  <c r="Z99" i="17" s="1"/>
  <c r="Y100" i="17"/>
  <c r="Z100" i="17" s="1"/>
  <c r="Y101" i="17"/>
  <c r="Z101" i="17" s="1"/>
  <c r="Y102" i="17"/>
  <c r="Z102" i="17" s="1"/>
  <c r="Y103" i="17"/>
  <c r="Z103" i="17" s="1"/>
  <c r="Y104" i="17"/>
  <c r="Z104" i="17" s="1"/>
  <c r="Y105" i="17"/>
  <c r="Z105" i="17" s="1"/>
  <c r="Y106" i="17"/>
  <c r="Z106" i="17" s="1"/>
  <c r="Y107" i="17"/>
  <c r="Z107" i="17" s="1"/>
  <c r="Y108" i="17"/>
  <c r="Z108" i="17" s="1"/>
  <c r="Y109" i="17"/>
  <c r="Z109" i="17" s="1"/>
  <c r="Y110" i="17"/>
  <c r="Z110" i="17" s="1"/>
  <c r="Y111" i="17"/>
  <c r="Z111" i="17" s="1"/>
  <c r="Y112" i="17"/>
  <c r="Z112" i="17" s="1"/>
  <c r="Y113" i="17"/>
  <c r="Z113" i="17" s="1"/>
  <c r="Y114" i="17"/>
  <c r="Z114" i="17" s="1"/>
  <c r="Y115" i="17"/>
  <c r="Z115" i="17" s="1"/>
  <c r="Y116" i="17"/>
  <c r="Z116" i="17" s="1"/>
  <c r="Y117" i="17"/>
  <c r="Z117" i="17" s="1"/>
  <c r="Y118" i="17"/>
  <c r="Z118" i="17" s="1"/>
  <c r="Y119" i="17"/>
  <c r="Z119" i="17" s="1"/>
  <c r="Y120" i="17"/>
  <c r="Z120" i="17" s="1"/>
  <c r="Y121" i="17"/>
  <c r="Z121" i="17" s="1"/>
  <c r="Y122" i="17"/>
  <c r="Z122" i="17" s="1"/>
  <c r="Y123" i="17"/>
  <c r="Z123" i="17" s="1"/>
  <c r="Y124" i="17"/>
  <c r="Z124" i="17" s="1"/>
  <c r="Y125" i="17"/>
  <c r="Z125" i="17" s="1"/>
  <c r="Y126" i="17"/>
  <c r="Z126" i="17" s="1"/>
  <c r="Y127" i="17"/>
  <c r="Z127" i="17" s="1"/>
  <c r="Y128" i="17"/>
  <c r="Z128" i="17" s="1"/>
  <c r="Y129" i="17"/>
  <c r="Z129" i="17" s="1"/>
  <c r="Y130" i="17"/>
  <c r="Z130" i="17" s="1"/>
  <c r="Y131" i="17"/>
  <c r="Z131" i="17" s="1"/>
  <c r="Y132" i="17"/>
  <c r="Z132" i="17" s="1"/>
  <c r="Y133" i="17"/>
  <c r="Z133" i="17" s="1"/>
  <c r="Y134" i="17"/>
  <c r="Z134" i="17" s="1"/>
  <c r="Y135" i="17"/>
  <c r="Z135" i="17" s="1"/>
  <c r="Y136" i="17"/>
  <c r="Z136" i="17" s="1"/>
  <c r="Y137" i="17"/>
  <c r="Z137" i="17" s="1"/>
  <c r="Y138" i="17"/>
  <c r="Z138" i="17" s="1"/>
  <c r="Y139" i="17"/>
  <c r="Z139" i="17" s="1"/>
  <c r="Y140" i="17"/>
  <c r="Z140" i="17" s="1"/>
  <c r="Y141" i="17"/>
  <c r="Z141" i="17" s="1"/>
  <c r="Y142" i="17"/>
  <c r="Z142" i="17" s="1"/>
  <c r="Y143" i="17"/>
  <c r="Z143" i="17" s="1"/>
  <c r="Y144" i="17"/>
  <c r="Z144" i="17" s="1"/>
  <c r="Y145" i="17"/>
  <c r="Z145" i="17" s="1"/>
  <c r="Y146" i="17"/>
  <c r="Z146" i="17" s="1"/>
  <c r="Y147" i="17"/>
  <c r="Z147" i="17" s="1"/>
  <c r="Y148" i="17"/>
  <c r="Z148" i="17" s="1"/>
  <c r="Y149" i="17"/>
  <c r="Z149" i="17" s="1"/>
  <c r="Y150" i="17"/>
  <c r="Z150" i="17" s="1"/>
  <c r="Y151" i="17"/>
  <c r="Z151" i="17" s="1"/>
  <c r="Y152" i="17"/>
  <c r="Z152" i="17" s="1"/>
  <c r="Y153" i="17"/>
  <c r="Z153" i="17" s="1"/>
  <c r="Y154" i="17"/>
  <c r="Z154" i="17" s="1"/>
  <c r="Y155" i="17"/>
  <c r="Z155" i="17" s="1"/>
  <c r="Y156" i="17"/>
  <c r="Z156" i="17" s="1"/>
  <c r="Y157" i="17"/>
  <c r="Z157" i="17" s="1"/>
  <c r="Y158" i="17"/>
  <c r="Z158" i="17" s="1"/>
  <c r="Y159" i="17"/>
  <c r="Z159" i="17" s="1"/>
  <c r="Y160" i="17"/>
  <c r="Z160" i="17" s="1"/>
  <c r="Y161" i="17"/>
  <c r="Z161" i="17" s="1"/>
  <c r="Y162" i="17"/>
  <c r="Z162" i="17" s="1"/>
  <c r="Y163" i="17"/>
  <c r="Z163" i="17" s="1"/>
  <c r="Y164" i="17"/>
  <c r="Z164" i="17" s="1"/>
  <c r="Y165" i="17"/>
  <c r="Z165" i="17" s="1"/>
  <c r="Y166" i="17"/>
  <c r="Z166" i="17" s="1"/>
  <c r="Y167" i="17"/>
  <c r="Z167" i="17" s="1"/>
  <c r="Y168" i="17"/>
  <c r="Z168" i="17" s="1"/>
  <c r="Y169" i="17"/>
  <c r="Z169" i="17" s="1"/>
  <c r="Y170" i="17"/>
  <c r="Z170" i="17" s="1"/>
  <c r="Y171" i="17"/>
  <c r="Z171" i="17" s="1"/>
  <c r="Y172" i="17"/>
  <c r="Z172" i="17" s="1"/>
  <c r="Y173" i="17"/>
  <c r="Z173" i="17" s="1"/>
  <c r="Y174" i="17"/>
  <c r="Z174" i="17" s="1"/>
  <c r="Y175" i="17"/>
  <c r="Z175" i="17" s="1"/>
  <c r="Y176" i="17"/>
  <c r="Z176" i="17" s="1"/>
  <c r="Y177" i="17"/>
  <c r="Z177" i="17" s="1"/>
  <c r="Y178" i="17"/>
  <c r="Z178" i="17" s="1"/>
  <c r="Y179" i="17"/>
  <c r="Z179" i="17" s="1"/>
  <c r="Y180" i="17"/>
  <c r="Z180" i="17" s="1"/>
  <c r="Y181" i="17"/>
  <c r="Z181" i="17" s="1"/>
  <c r="Y182" i="17"/>
  <c r="Z182" i="17" s="1"/>
  <c r="Y183" i="17"/>
  <c r="Z183" i="17" s="1"/>
  <c r="Y184" i="17"/>
  <c r="Z184" i="17" s="1"/>
  <c r="Y185" i="17"/>
  <c r="Z185" i="17" s="1"/>
  <c r="Y186" i="17"/>
  <c r="Z186" i="17" s="1"/>
  <c r="Y187" i="17"/>
  <c r="Z187" i="17" s="1"/>
  <c r="Y188" i="17"/>
  <c r="Z188" i="17" s="1"/>
  <c r="Y189" i="17"/>
  <c r="Z189" i="17" s="1"/>
  <c r="Y190" i="17"/>
  <c r="Z190" i="17" s="1"/>
  <c r="Y191" i="17"/>
  <c r="Z191" i="17" s="1"/>
  <c r="Y192" i="17"/>
  <c r="Z192" i="17" s="1"/>
  <c r="Y193" i="17"/>
  <c r="Z193" i="17" s="1"/>
  <c r="Y194" i="17"/>
  <c r="Z194" i="17" s="1"/>
  <c r="Y195" i="17"/>
  <c r="Z195" i="17" s="1"/>
  <c r="Y196" i="17"/>
  <c r="Z196" i="17" s="1"/>
  <c r="Y197" i="17"/>
  <c r="Z197" i="17" s="1"/>
  <c r="Y198" i="17"/>
  <c r="Z198" i="17" s="1"/>
  <c r="Y199" i="17"/>
  <c r="Z199" i="17" s="1"/>
  <c r="Y200" i="17"/>
  <c r="Z200" i="17" s="1"/>
  <c r="Y201" i="17"/>
  <c r="Z201" i="17" s="1"/>
  <c r="Y202" i="17"/>
  <c r="Z202" i="17" s="1"/>
  <c r="Y203" i="17"/>
  <c r="Z203" i="17" s="1"/>
  <c r="Y204" i="17"/>
  <c r="Z204" i="17" s="1"/>
  <c r="Y205" i="17"/>
  <c r="Z205" i="17" s="1"/>
  <c r="Y206" i="17"/>
  <c r="Z206" i="17" s="1"/>
  <c r="Y207" i="17"/>
  <c r="Z207" i="17" s="1"/>
  <c r="Y208" i="17"/>
  <c r="Z208" i="17" s="1"/>
  <c r="Y209" i="17"/>
  <c r="Z209" i="17" s="1"/>
  <c r="Y210" i="17"/>
  <c r="Z210" i="17" s="1"/>
  <c r="Y211" i="17"/>
  <c r="Z211" i="17" s="1"/>
  <c r="Y212" i="17"/>
  <c r="Z212" i="17" s="1"/>
  <c r="Y213" i="17"/>
  <c r="Z213" i="17" s="1"/>
  <c r="Y214" i="17"/>
  <c r="Z214" i="17" s="1"/>
  <c r="Y215" i="17"/>
  <c r="Z215" i="17" s="1"/>
  <c r="Y216" i="17"/>
  <c r="Z216" i="17" s="1"/>
  <c r="Y217" i="17"/>
  <c r="Z217" i="17" s="1"/>
  <c r="Y218" i="17"/>
  <c r="Z218" i="17" s="1"/>
  <c r="Y219" i="17"/>
  <c r="Z219" i="17" s="1"/>
  <c r="Y220" i="17"/>
  <c r="Z220" i="17" s="1"/>
  <c r="Y221" i="17"/>
  <c r="Z221" i="17" s="1"/>
  <c r="Y222" i="17"/>
  <c r="Z222" i="17" s="1"/>
  <c r="Y223" i="17"/>
  <c r="Z223" i="17" s="1"/>
  <c r="Y224" i="17"/>
  <c r="Z224" i="17" s="1"/>
  <c r="Y225" i="17"/>
  <c r="Z225" i="17" s="1"/>
  <c r="Y226" i="17"/>
  <c r="Z226" i="17" s="1"/>
  <c r="Y227" i="17"/>
  <c r="Z227" i="17" s="1"/>
  <c r="Y228" i="17"/>
  <c r="Z228" i="17" s="1"/>
  <c r="Y229" i="17"/>
  <c r="Z229" i="17" s="1"/>
  <c r="Y230" i="17"/>
  <c r="Z230" i="17" s="1"/>
  <c r="Y231" i="17"/>
  <c r="Z231" i="17" s="1"/>
  <c r="Y232" i="17"/>
  <c r="Z232" i="17" s="1"/>
  <c r="Y233" i="17"/>
  <c r="Z233" i="17" s="1"/>
  <c r="Y234" i="17"/>
  <c r="Z234" i="17" s="1"/>
  <c r="Y35" i="17"/>
  <c r="G13" i="20"/>
  <c r="W38" i="17" l="1"/>
  <c r="X38" i="17"/>
  <c r="W36" i="17"/>
  <c r="X36" i="17"/>
  <c r="W234" i="17"/>
  <c r="X234" i="17"/>
  <c r="W232" i="17"/>
  <c r="X232" i="17"/>
  <c r="W230" i="17"/>
  <c r="X230" i="17"/>
  <c r="W228" i="17"/>
  <c r="X228" i="17"/>
  <c r="W226" i="17"/>
  <c r="X226" i="17"/>
  <c r="W224" i="17"/>
  <c r="X224" i="17"/>
  <c r="W222" i="17"/>
  <c r="X222" i="17"/>
  <c r="W220" i="17"/>
  <c r="X220" i="17"/>
  <c r="W218" i="17"/>
  <c r="X218" i="17"/>
  <c r="W216" i="17"/>
  <c r="X216" i="17"/>
  <c r="W214" i="17"/>
  <c r="X214" i="17"/>
  <c r="W212" i="17"/>
  <c r="X212" i="17"/>
  <c r="W210" i="17"/>
  <c r="X210" i="17"/>
  <c r="W208" i="17"/>
  <c r="X208" i="17"/>
  <c r="W206" i="17"/>
  <c r="X206" i="17"/>
  <c r="W204" i="17"/>
  <c r="X204" i="17"/>
  <c r="W202" i="17"/>
  <c r="X202" i="17"/>
  <c r="W200" i="17"/>
  <c r="X200" i="17"/>
  <c r="W198" i="17"/>
  <c r="X198" i="17"/>
  <c r="W196" i="17"/>
  <c r="X196" i="17"/>
  <c r="W194" i="17"/>
  <c r="X194" i="17"/>
  <c r="W192" i="17"/>
  <c r="X192" i="17"/>
  <c r="W190" i="17"/>
  <c r="X190" i="17"/>
  <c r="W188" i="17"/>
  <c r="X188" i="17"/>
  <c r="W186" i="17"/>
  <c r="X186" i="17"/>
  <c r="W184" i="17"/>
  <c r="X184" i="17"/>
  <c r="W182" i="17"/>
  <c r="X182" i="17"/>
  <c r="W180" i="17"/>
  <c r="X180" i="17"/>
  <c r="W178" i="17"/>
  <c r="X178" i="17"/>
  <c r="W176" i="17"/>
  <c r="X176" i="17"/>
  <c r="W174" i="17"/>
  <c r="X174" i="17"/>
  <c r="W172" i="17"/>
  <c r="X172" i="17"/>
  <c r="W170" i="17"/>
  <c r="X170" i="17"/>
  <c r="W168" i="17"/>
  <c r="X168" i="17"/>
  <c r="W166" i="17"/>
  <c r="X166" i="17"/>
  <c r="W164" i="17"/>
  <c r="X164" i="17"/>
  <c r="W162" i="17"/>
  <c r="X162" i="17"/>
  <c r="W160" i="17"/>
  <c r="X160" i="17"/>
  <c r="W158" i="17"/>
  <c r="X158" i="17"/>
  <c r="W156" i="17"/>
  <c r="X156" i="17"/>
  <c r="W154" i="17"/>
  <c r="X154" i="17"/>
  <c r="W152" i="17"/>
  <c r="X152" i="17"/>
  <c r="W150" i="17"/>
  <c r="X150" i="17"/>
  <c r="W148" i="17"/>
  <c r="X148" i="17"/>
  <c r="W146" i="17"/>
  <c r="X146" i="17"/>
  <c r="W144" i="17"/>
  <c r="X144" i="17"/>
  <c r="W142" i="17"/>
  <c r="X142" i="17"/>
  <c r="W140" i="17"/>
  <c r="X140" i="17"/>
  <c r="W138" i="17"/>
  <c r="X138" i="17"/>
  <c r="W136" i="17"/>
  <c r="X136" i="17"/>
  <c r="W134" i="17"/>
  <c r="X134" i="17"/>
  <c r="W132" i="17"/>
  <c r="X132" i="17"/>
  <c r="W130" i="17"/>
  <c r="X130" i="17"/>
  <c r="W128" i="17"/>
  <c r="X128" i="17"/>
  <c r="W126" i="17"/>
  <c r="X126" i="17"/>
  <c r="W124" i="17"/>
  <c r="X124" i="17"/>
  <c r="W122" i="17"/>
  <c r="X122" i="17"/>
  <c r="W120" i="17"/>
  <c r="X120" i="17"/>
  <c r="W118" i="17"/>
  <c r="X118" i="17"/>
  <c r="W116" i="17"/>
  <c r="X116" i="17"/>
  <c r="W114" i="17"/>
  <c r="X114" i="17"/>
  <c r="W112" i="17"/>
  <c r="X112" i="17"/>
  <c r="W110" i="17"/>
  <c r="X110" i="17"/>
  <c r="W108" i="17"/>
  <c r="X108" i="17"/>
  <c r="W106" i="17"/>
  <c r="X106" i="17"/>
  <c r="W104" i="17"/>
  <c r="X104" i="17"/>
  <c r="W102" i="17"/>
  <c r="X102" i="17"/>
  <c r="W100" i="17"/>
  <c r="X100" i="17"/>
  <c r="W98" i="17"/>
  <c r="X98" i="17"/>
  <c r="W96" i="17"/>
  <c r="X96" i="17"/>
  <c r="W94" i="17"/>
  <c r="X94" i="17"/>
  <c r="W92" i="17"/>
  <c r="X92" i="17"/>
  <c r="W90" i="17"/>
  <c r="X90" i="17"/>
  <c r="W88" i="17"/>
  <c r="X88" i="17"/>
  <c r="W86" i="17"/>
  <c r="X86" i="17"/>
  <c r="W84" i="17"/>
  <c r="X84" i="17"/>
  <c r="W82" i="17"/>
  <c r="X82" i="17"/>
  <c r="W80" i="17"/>
  <c r="X80" i="17"/>
  <c r="W78" i="17"/>
  <c r="X78" i="17"/>
  <c r="W76" i="17"/>
  <c r="X76" i="17"/>
  <c r="W74" i="17"/>
  <c r="X74" i="17"/>
  <c r="W72" i="17"/>
  <c r="X72" i="17"/>
  <c r="W70" i="17"/>
  <c r="X70" i="17"/>
  <c r="W68" i="17"/>
  <c r="X68" i="17"/>
  <c r="W66" i="17"/>
  <c r="X66" i="17"/>
  <c r="W64" i="17"/>
  <c r="X64" i="17"/>
  <c r="W62" i="17"/>
  <c r="X62" i="17"/>
  <c r="W60" i="17"/>
  <c r="X60" i="17"/>
  <c r="W58" i="17"/>
  <c r="X58" i="17"/>
  <c r="W56" i="17"/>
  <c r="X56" i="17"/>
  <c r="W54" i="17"/>
  <c r="X54" i="17"/>
  <c r="W52" i="17"/>
  <c r="X52" i="17"/>
  <c r="W50" i="17"/>
  <c r="X50" i="17"/>
  <c r="W48" i="17"/>
  <c r="X48" i="17"/>
  <c r="W46" i="17"/>
  <c r="X46" i="17"/>
  <c r="W44" i="17"/>
  <c r="X44" i="17"/>
  <c r="W42" i="17"/>
  <c r="X42" i="17"/>
  <c r="W40" i="17"/>
  <c r="X40" i="17"/>
  <c r="W37" i="17"/>
  <c r="X37" i="17"/>
  <c r="X233" i="17"/>
  <c r="W233" i="17"/>
  <c r="X231" i="17"/>
  <c r="W231" i="17"/>
  <c r="X229" i="17"/>
  <c r="W229" i="17"/>
  <c r="X227" i="17"/>
  <c r="W227" i="17"/>
  <c r="X225" i="17"/>
  <c r="W225" i="17"/>
  <c r="X223" i="17"/>
  <c r="W223" i="17"/>
  <c r="X221" i="17"/>
  <c r="W221" i="17"/>
  <c r="X219" i="17"/>
  <c r="W219" i="17"/>
  <c r="X217" i="17"/>
  <c r="W217" i="17"/>
  <c r="X215" i="17"/>
  <c r="W215" i="17"/>
  <c r="X213" i="17"/>
  <c r="W213" i="17"/>
  <c r="X211" i="17"/>
  <c r="W211" i="17"/>
  <c r="X209" i="17"/>
  <c r="W209" i="17"/>
  <c r="X207" i="17"/>
  <c r="W207" i="17"/>
  <c r="X205" i="17"/>
  <c r="W205" i="17"/>
  <c r="W203" i="17"/>
  <c r="X203" i="17"/>
  <c r="W201" i="17"/>
  <c r="X201" i="17"/>
  <c r="X199" i="17"/>
  <c r="W199" i="17"/>
  <c r="X197" i="17"/>
  <c r="W197" i="17"/>
  <c r="W195" i="17"/>
  <c r="X195" i="17"/>
  <c r="W193" i="17"/>
  <c r="X193" i="17"/>
  <c r="W191" i="17"/>
  <c r="X191" i="17"/>
  <c r="X189" i="17"/>
  <c r="W189" i="17"/>
  <c r="W187" i="17"/>
  <c r="X187" i="17"/>
  <c r="W185" i="17"/>
  <c r="X185" i="17"/>
  <c r="W183" i="17"/>
  <c r="X183" i="17"/>
  <c r="X181" i="17"/>
  <c r="W181" i="17"/>
  <c r="W179" i="17"/>
  <c r="X179" i="17"/>
  <c r="W177" i="17"/>
  <c r="X177" i="17"/>
  <c r="W175" i="17"/>
  <c r="X175" i="17"/>
  <c r="X173" i="17"/>
  <c r="W173" i="17"/>
  <c r="W171" i="17"/>
  <c r="X171" i="17"/>
  <c r="W169" i="17"/>
  <c r="X169" i="17"/>
  <c r="W167" i="17"/>
  <c r="X167" i="17"/>
  <c r="X165" i="17"/>
  <c r="W165" i="17"/>
  <c r="W163" i="17"/>
  <c r="X163" i="17"/>
  <c r="W161" i="17"/>
  <c r="X161" i="17"/>
  <c r="W159" i="17"/>
  <c r="X159" i="17"/>
  <c r="X157" i="17"/>
  <c r="W157" i="17"/>
  <c r="W155" i="17"/>
  <c r="X155" i="17"/>
  <c r="W153" i="17"/>
  <c r="X153" i="17"/>
  <c r="X151" i="17"/>
  <c r="W151" i="17"/>
  <c r="X149" i="17"/>
  <c r="W149" i="17"/>
  <c r="W147" i="17"/>
  <c r="X147" i="17"/>
  <c r="W145" i="17"/>
  <c r="X145" i="17"/>
  <c r="W143" i="17"/>
  <c r="X143" i="17"/>
  <c r="X141" i="17"/>
  <c r="W141" i="17"/>
  <c r="W139" i="17"/>
  <c r="X139" i="17"/>
  <c r="W137" i="17"/>
  <c r="X137" i="17"/>
  <c r="W135" i="17"/>
  <c r="X135" i="17"/>
  <c r="X133" i="17"/>
  <c r="W133" i="17"/>
  <c r="W131" i="17"/>
  <c r="X131" i="17"/>
  <c r="W129" i="17"/>
  <c r="X129" i="17"/>
  <c r="W127" i="17"/>
  <c r="X127" i="17"/>
  <c r="X125" i="17"/>
  <c r="W125" i="17"/>
  <c r="W123" i="17"/>
  <c r="X123" i="17"/>
  <c r="W121" i="17"/>
  <c r="X121" i="17"/>
  <c r="W119" i="17"/>
  <c r="X119" i="17"/>
  <c r="X117" i="17"/>
  <c r="W117" i="17"/>
  <c r="W115" i="17"/>
  <c r="X115" i="17"/>
  <c r="W113" i="17"/>
  <c r="X113" i="17"/>
  <c r="W111" i="17"/>
  <c r="X111" i="17"/>
  <c r="X109" i="17"/>
  <c r="W109" i="17"/>
  <c r="W107" i="17"/>
  <c r="X107" i="17"/>
  <c r="W105" i="17"/>
  <c r="X105" i="17"/>
  <c r="W103" i="17"/>
  <c r="X103" i="17"/>
  <c r="X101" i="17"/>
  <c r="W101" i="17"/>
  <c r="W99" i="17"/>
  <c r="X99" i="17"/>
  <c r="W97" i="17"/>
  <c r="X97" i="17"/>
  <c r="W95" i="17"/>
  <c r="X95" i="17"/>
  <c r="X93" i="17"/>
  <c r="W93" i="17"/>
  <c r="W91" i="17"/>
  <c r="X91" i="17"/>
  <c r="W89" i="17"/>
  <c r="X89" i="17"/>
  <c r="W87" i="17"/>
  <c r="X87" i="17"/>
  <c r="X85" i="17"/>
  <c r="W85" i="17"/>
  <c r="W83" i="17"/>
  <c r="X83" i="17"/>
  <c r="W81" i="17"/>
  <c r="X81" i="17"/>
  <c r="W79" i="17"/>
  <c r="X79" i="17"/>
  <c r="X77" i="17"/>
  <c r="W77" i="17"/>
  <c r="W75" i="17"/>
  <c r="X75" i="17"/>
  <c r="W73" i="17"/>
  <c r="X73" i="17"/>
  <c r="W71" i="17"/>
  <c r="X71" i="17"/>
  <c r="X69" i="17"/>
  <c r="W69" i="17"/>
  <c r="W67" i="17"/>
  <c r="X67" i="17"/>
  <c r="W65" i="17"/>
  <c r="X65" i="17"/>
  <c r="W63" i="17"/>
  <c r="X63" i="17"/>
  <c r="X61" i="17"/>
  <c r="W61" i="17"/>
  <c r="W59" i="17"/>
  <c r="X59" i="17"/>
  <c r="W57" i="17"/>
  <c r="X57" i="17"/>
  <c r="W55" i="17"/>
  <c r="X55" i="17"/>
  <c r="X53" i="17"/>
  <c r="W53" i="17"/>
  <c r="W51" i="17"/>
  <c r="X51" i="17"/>
  <c r="W49" i="17"/>
  <c r="X49" i="17"/>
  <c r="W47" i="17"/>
  <c r="X47" i="17"/>
  <c r="X45" i="17"/>
  <c r="W45" i="17"/>
  <c r="W43" i="17"/>
  <c r="X43" i="17"/>
  <c r="W41" i="17"/>
  <c r="X41" i="17"/>
  <c r="Z35" i="17"/>
  <c r="L37" i="17"/>
  <c r="J21" i="17"/>
  <c r="G32" i="8" l="1"/>
  <c r="G33" i="8"/>
  <c r="I54" i="3"/>
  <c r="K27" i="3"/>
  <c r="K28" i="3"/>
  <c r="K29" i="3"/>
  <c r="K30" i="3"/>
  <c r="K31" i="3"/>
  <c r="K32" i="3"/>
  <c r="K33" i="3"/>
  <c r="G40" i="8" l="1"/>
  <c r="G39" i="8"/>
  <c r="G41" i="8"/>
  <c r="G38" i="8"/>
  <c r="G19" i="8"/>
  <c r="G18" i="8"/>
  <c r="G20" i="8"/>
  <c r="G21" i="8"/>
  <c r="G17" i="8"/>
  <c r="G13" i="10" l="1"/>
  <c r="G14" i="10"/>
  <c r="G15" i="10"/>
  <c r="G12" i="10"/>
  <c r="K98" i="2"/>
  <c r="K97" i="2"/>
  <c r="K92" i="2"/>
  <c r="K91" i="2"/>
  <c r="G23" i="21"/>
  <c r="I23" i="21" s="1"/>
  <c r="G22" i="21"/>
  <c r="H22" i="21" s="1"/>
  <c r="G24" i="21"/>
  <c r="I24" i="21" s="1"/>
  <c r="K113" i="2"/>
  <c r="L34" i="18"/>
  <c r="D41" i="18"/>
  <c r="D30" i="18"/>
  <c r="D24" i="18"/>
  <c r="D33" i="18"/>
  <c r="D24" i="7"/>
  <c r="D33" i="7"/>
  <c r="D30" i="7"/>
  <c r="G17" i="5"/>
  <c r="B14" i="5"/>
  <c r="K59" i="2"/>
  <c r="I15" i="4"/>
  <c r="I16" i="4"/>
  <c r="I75" i="3"/>
  <c r="I74" i="3"/>
  <c r="I73" i="3"/>
  <c r="I72" i="3"/>
  <c r="I71" i="3"/>
  <c r="I70" i="3"/>
  <c r="I69" i="3"/>
  <c r="I68" i="3"/>
  <c r="I67" i="3"/>
  <c r="I66" i="3"/>
  <c r="I53" i="3"/>
  <c r="I55" i="3"/>
  <c r="I56" i="3"/>
  <c r="I57" i="3"/>
  <c r="I40" i="3"/>
  <c r="I41" i="3"/>
  <c r="I42" i="3"/>
  <c r="I43" i="3"/>
  <c r="I44" i="3"/>
  <c r="I45" i="3"/>
  <c r="I46" i="3"/>
  <c r="I39" i="3"/>
  <c r="I33" i="3"/>
  <c r="I32" i="3"/>
  <c r="I31" i="3"/>
  <c r="I30" i="3"/>
  <c r="I29" i="3"/>
  <c r="I28" i="3"/>
  <c r="I27" i="3"/>
  <c r="I26" i="3"/>
  <c r="K26" i="3" s="1"/>
  <c r="I20" i="3"/>
  <c r="G20" i="3" s="1"/>
  <c r="I19" i="3"/>
  <c r="G19" i="3" s="1"/>
  <c r="I18" i="3"/>
  <c r="I17" i="3"/>
  <c r="G17" i="3" s="1"/>
  <c r="I16" i="3"/>
  <c r="G16" i="3" s="1"/>
  <c r="I15" i="3"/>
  <c r="G15" i="3" s="1"/>
  <c r="I14" i="3"/>
  <c r="G14" i="3" s="1"/>
  <c r="H113" i="2"/>
  <c r="G113" i="2"/>
  <c r="E111" i="2"/>
  <c r="B9" i="10"/>
  <c r="J38" i="18" l="1"/>
  <c r="F38" i="18"/>
  <c r="H38" i="18"/>
  <c r="F38" i="7"/>
  <c r="J38" i="7"/>
  <c r="H38" i="7"/>
  <c r="H74" i="2"/>
  <c r="H75" i="2"/>
  <c r="H76" i="2"/>
  <c r="G73" i="3"/>
  <c r="G70" i="3"/>
  <c r="G74" i="3"/>
  <c r="G67" i="3"/>
  <c r="G71" i="3"/>
  <c r="G75" i="3"/>
  <c r="G69" i="3"/>
  <c r="G68" i="3"/>
  <c r="G72" i="3"/>
  <c r="I22" i="21"/>
  <c r="H23" i="21"/>
  <c r="H24" i="21"/>
  <c r="D34" i="18"/>
  <c r="D38" i="18" s="1"/>
  <c r="D34" i="7"/>
  <c r="D38" i="7" s="1"/>
  <c r="G66" i="3"/>
  <c r="G18" i="3"/>
  <c r="K108" i="2"/>
  <c r="H108" i="2"/>
  <c r="G108" i="2"/>
  <c r="E106" i="2"/>
  <c r="G25" i="21"/>
  <c r="I25" i="21" s="1"/>
  <c r="B19" i="21"/>
  <c r="E101" i="2"/>
  <c r="K103" i="2"/>
  <c r="H103" i="2"/>
  <c r="G103" i="2"/>
  <c r="G15" i="21"/>
  <c r="I15" i="21" s="1"/>
  <c r="G14" i="21"/>
  <c r="H14" i="21" s="1"/>
  <c r="G13" i="21"/>
  <c r="I13" i="21" s="1"/>
  <c r="G12" i="21"/>
  <c r="I12" i="21" s="1"/>
  <c r="G16" i="21"/>
  <c r="H16" i="21" s="1"/>
  <c r="B9" i="21"/>
  <c r="G187" i="14"/>
  <c r="G185" i="14"/>
  <c r="G182" i="14"/>
  <c r="G183" i="14"/>
  <c r="G184" i="14"/>
  <c r="G186" i="14"/>
  <c r="H98" i="2"/>
  <c r="H97" i="2"/>
  <c r="G98" i="2"/>
  <c r="G97" i="2"/>
  <c r="E95" i="2"/>
  <c r="B35" i="8"/>
  <c r="B29" i="8"/>
  <c r="H92" i="2"/>
  <c r="H91" i="2"/>
  <c r="G92" i="2"/>
  <c r="G91" i="2"/>
  <c r="E89" i="2"/>
  <c r="G27" i="8"/>
  <c r="B24" i="8"/>
  <c r="B14" i="8"/>
  <c r="K86" i="2"/>
  <c r="H86" i="2"/>
  <c r="G86" i="2"/>
  <c r="E84" i="2"/>
  <c r="H12" i="8"/>
  <c r="B12" i="8"/>
  <c r="G81" i="2" s="1"/>
  <c r="B9" i="8"/>
  <c r="E79" i="2" s="1"/>
  <c r="D37" i="18" l="1"/>
  <c r="D37" i="7"/>
  <c r="M108" i="2"/>
  <c r="E108" i="2" s="1"/>
  <c r="H25" i="21"/>
  <c r="M103" i="2"/>
  <c r="E103" i="2" s="1"/>
  <c r="I14" i="21"/>
  <c r="H13" i="21"/>
  <c r="H12" i="21"/>
  <c r="I16" i="21"/>
  <c r="H15" i="21"/>
  <c r="D45" i="7" l="1"/>
  <c r="M74" i="2" s="1"/>
  <c r="D42" i="7"/>
  <c r="D46" i="7" s="1"/>
  <c r="D42" i="18"/>
  <c r="D46" i="18" s="1"/>
  <c r="D45" i="18"/>
  <c r="J26" i="19"/>
  <c r="H26" i="19"/>
  <c r="F26" i="19"/>
  <c r="D43" i="18"/>
  <c r="J66" i="3"/>
  <c r="H33" i="8"/>
  <c r="H32" i="8"/>
  <c r="I40" i="8"/>
  <c r="I39" i="8"/>
  <c r="I41" i="8"/>
  <c r="I38" i="8"/>
  <c r="K74" i="3"/>
  <c r="I32" i="8"/>
  <c r="K53" i="3"/>
  <c r="K70" i="3"/>
  <c r="K40" i="3"/>
  <c r="K68" i="3"/>
  <c r="K67" i="3"/>
  <c r="K75" i="3"/>
  <c r="K73" i="3"/>
  <c r="K71" i="3"/>
  <c r="K72" i="3"/>
  <c r="K69" i="3"/>
  <c r="K66" i="3"/>
  <c r="H12" i="10"/>
  <c r="I17" i="8"/>
  <c r="H40" i="8"/>
  <c r="H20" i="8"/>
  <c r="H39" i="8"/>
  <c r="H19" i="8"/>
  <c r="I20" i="8"/>
  <c r="I19" i="8"/>
  <c r="H38" i="8"/>
  <c r="H17" i="8"/>
  <c r="H18" i="8"/>
  <c r="I18" i="8"/>
  <c r="J14" i="3"/>
  <c r="B2" i="2"/>
  <c r="I12" i="10"/>
  <c r="I14" i="10"/>
  <c r="H13" i="10"/>
  <c r="H14" i="10"/>
  <c r="I13" i="10"/>
  <c r="I48" i="2"/>
  <c r="I69" i="2"/>
  <c r="I54" i="2"/>
  <c r="I64" i="2"/>
  <c r="I49" i="2"/>
  <c r="I59" i="2"/>
  <c r="K16" i="4"/>
  <c r="J70" i="3"/>
  <c r="J74" i="3"/>
  <c r="J68" i="3"/>
  <c r="J69" i="3"/>
  <c r="I17" i="5"/>
  <c r="J67" i="3"/>
  <c r="J71" i="3"/>
  <c r="J75" i="3"/>
  <c r="J15" i="4"/>
  <c r="K15" i="4"/>
  <c r="J73" i="3"/>
  <c r="J16" i="4"/>
  <c r="H17" i="5"/>
  <c r="J72" i="3"/>
  <c r="J56" i="3"/>
  <c r="K57" i="3"/>
  <c r="I30" i="2"/>
  <c r="J57" i="3"/>
  <c r="I35" i="2"/>
  <c r="K56" i="3"/>
  <c r="I25" i="2"/>
  <c r="I20" i="2"/>
  <c r="I19" i="2"/>
  <c r="K55" i="3"/>
  <c r="J54" i="3"/>
  <c r="K54" i="3"/>
  <c r="J53" i="3"/>
  <c r="J55" i="3"/>
  <c r="J42" i="3"/>
  <c r="J27" i="3"/>
  <c r="K43" i="3"/>
  <c r="J46" i="3"/>
  <c r="K46" i="3"/>
  <c r="J43" i="3"/>
  <c r="J32" i="3"/>
  <c r="J30" i="3"/>
  <c r="K42" i="3"/>
  <c r="J40" i="3"/>
  <c r="K39" i="3"/>
  <c r="K45" i="3"/>
  <c r="J29" i="3"/>
  <c r="J28" i="3"/>
  <c r="J44" i="3"/>
  <c r="J45" i="3"/>
  <c r="K41" i="3"/>
  <c r="J33" i="3"/>
  <c r="J41" i="3"/>
  <c r="J31" i="3"/>
  <c r="K44" i="3"/>
  <c r="J39" i="3"/>
  <c r="J26" i="3"/>
  <c r="K17" i="3"/>
  <c r="K20" i="3"/>
  <c r="J20" i="3"/>
  <c r="K15" i="3"/>
  <c r="J19" i="3"/>
  <c r="J16" i="3"/>
  <c r="K19" i="3"/>
  <c r="J17" i="3"/>
  <c r="J15" i="3"/>
  <c r="K16" i="3"/>
  <c r="J18" i="3"/>
  <c r="K18" i="3"/>
  <c r="I113" i="2"/>
  <c r="I15" i="10"/>
  <c r="H15" i="10"/>
  <c r="K14" i="3"/>
  <c r="I108" i="2"/>
  <c r="I103" i="2"/>
  <c r="H27" i="8"/>
  <c r="I21" i="8"/>
  <c r="I97" i="2"/>
  <c r="I92" i="2"/>
  <c r="I98" i="2"/>
  <c r="I91" i="2"/>
  <c r="I86" i="2"/>
  <c r="H21" i="8"/>
  <c r="I27" i="8"/>
  <c r="H41" i="8"/>
  <c r="I33" i="8"/>
  <c r="I43" i="2"/>
  <c r="I42" i="2"/>
  <c r="I41" i="2"/>
  <c r="I39" i="2"/>
  <c r="I40" i="2"/>
  <c r="V36" i="17"/>
  <c r="V37" i="17"/>
  <c r="V38" i="17"/>
  <c r="V39" i="17"/>
  <c r="V40" i="17"/>
  <c r="V41" i="17"/>
  <c r="V42" i="17"/>
  <c r="V43" i="17"/>
  <c r="V44" i="17"/>
  <c r="V45" i="17"/>
  <c r="V46" i="17"/>
  <c r="V47" i="17"/>
  <c r="V48" i="17"/>
  <c r="V49" i="17"/>
  <c r="V50" i="17"/>
  <c r="V51" i="17"/>
  <c r="V52" i="17"/>
  <c r="V53" i="17"/>
  <c r="V54" i="17"/>
  <c r="V55" i="17"/>
  <c r="V56" i="17"/>
  <c r="V57" i="17"/>
  <c r="V58" i="17"/>
  <c r="V59" i="17"/>
  <c r="V60" i="17"/>
  <c r="V61" i="17"/>
  <c r="V62" i="17"/>
  <c r="V63" i="17"/>
  <c r="V64" i="17"/>
  <c r="V65" i="17"/>
  <c r="V66" i="17"/>
  <c r="V67" i="17"/>
  <c r="V68" i="17"/>
  <c r="V69" i="17"/>
  <c r="V70" i="17"/>
  <c r="V71" i="17"/>
  <c r="V72" i="17"/>
  <c r="V73" i="17"/>
  <c r="V74" i="17"/>
  <c r="V75" i="17"/>
  <c r="V76" i="17"/>
  <c r="V77" i="17"/>
  <c r="V78" i="17"/>
  <c r="V79" i="17"/>
  <c r="V80" i="17"/>
  <c r="V81" i="17"/>
  <c r="V82" i="17"/>
  <c r="V83" i="17"/>
  <c r="V84" i="17"/>
  <c r="V85" i="17"/>
  <c r="V86" i="17"/>
  <c r="V87" i="17"/>
  <c r="V88" i="17"/>
  <c r="V89" i="17"/>
  <c r="V90" i="17"/>
  <c r="V91" i="17"/>
  <c r="V92" i="17"/>
  <c r="V93" i="17"/>
  <c r="V94" i="17"/>
  <c r="V95" i="17"/>
  <c r="V96" i="17"/>
  <c r="V97" i="17"/>
  <c r="V98" i="17"/>
  <c r="V99" i="17"/>
  <c r="V100" i="17"/>
  <c r="V101" i="17"/>
  <c r="V102" i="17"/>
  <c r="V103" i="17"/>
  <c r="V104" i="17"/>
  <c r="V105" i="17"/>
  <c r="V106" i="17"/>
  <c r="V107" i="17"/>
  <c r="V108" i="17"/>
  <c r="V109" i="17"/>
  <c r="V110" i="17"/>
  <c r="V111" i="17"/>
  <c r="V112" i="17"/>
  <c r="V113" i="17"/>
  <c r="V114" i="17"/>
  <c r="V115" i="17"/>
  <c r="V116" i="17"/>
  <c r="V117" i="17"/>
  <c r="V118" i="17"/>
  <c r="V119" i="17"/>
  <c r="V120" i="17"/>
  <c r="V121" i="17"/>
  <c r="V122" i="17"/>
  <c r="V123" i="17"/>
  <c r="V124" i="17"/>
  <c r="V125" i="17"/>
  <c r="V126" i="17"/>
  <c r="V127" i="17"/>
  <c r="V128" i="17"/>
  <c r="V129" i="17"/>
  <c r="V130" i="17"/>
  <c r="V131" i="17"/>
  <c r="V132" i="17"/>
  <c r="V133" i="17"/>
  <c r="V134" i="17"/>
  <c r="V135" i="17"/>
  <c r="V136" i="17"/>
  <c r="V137" i="17"/>
  <c r="V138" i="17"/>
  <c r="V139" i="17"/>
  <c r="V140" i="17"/>
  <c r="V141" i="17"/>
  <c r="V142" i="17"/>
  <c r="V143" i="17"/>
  <c r="V144" i="17"/>
  <c r="V145" i="17"/>
  <c r="V146" i="17"/>
  <c r="V147" i="17"/>
  <c r="V148" i="17"/>
  <c r="V149" i="17"/>
  <c r="V150" i="17"/>
  <c r="V151" i="17"/>
  <c r="V152" i="17"/>
  <c r="V153" i="17"/>
  <c r="V154" i="17"/>
  <c r="V155" i="17"/>
  <c r="V156" i="17"/>
  <c r="V157" i="17"/>
  <c r="V158" i="17"/>
  <c r="V159" i="17"/>
  <c r="V160" i="17"/>
  <c r="V161" i="17"/>
  <c r="V162" i="17"/>
  <c r="V163" i="17"/>
  <c r="V164" i="17"/>
  <c r="V165" i="17"/>
  <c r="V166" i="17"/>
  <c r="V167" i="17"/>
  <c r="V168" i="17"/>
  <c r="V169" i="17"/>
  <c r="V170" i="17"/>
  <c r="V171" i="17"/>
  <c r="V172" i="17"/>
  <c r="V173" i="17"/>
  <c r="V174" i="17"/>
  <c r="V175" i="17"/>
  <c r="V176" i="17"/>
  <c r="V177" i="17"/>
  <c r="V178" i="17"/>
  <c r="V179" i="17"/>
  <c r="V180" i="17"/>
  <c r="V181" i="17"/>
  <c r="V182" i="17"/>
  <c r="V183" i="17"/>
  <c r="V184" i="17"/>
  <c r="V185" i="17"/>
  <c r="V186" i="17"/>
  <c r="V187" i="17"/>
  <c r="V188" i="17"/>
  <c r="V189" i="17"/>
  <c r="V190" i="17"/>
  <c r="V191" i="17"/>
  <c r="V192" i="17"/>
  <c r="V193" i="17"/>
  <c r="V194" i="17"/>
  <c r="V195" i="17"/>
  <c r="V196" i="17"/>
  <c r="V197" i="17"/>
  <c r="V198" i="17"/>
  <c r="V199" i="17"/>
  <c r="V200" i="17"/>
  <c r="V201" i="17"/>
  <c r="V202" i="17"/>
  <c r="V203" i="17"/>
  <c r="V204" i="17"/>
  <c r="V205" i="17"/>
  <c r="V206" i="17"/>
  <c r="V207" i="17"/>
  <c r="V208" i="17"/>
  <c r="V209" i="17"/>
  <c r="V210" i="17"/>
  <c r="V211" i="17"/>
  <c r="V212" i="17"/>
  <c r="V213" i="17"/>
  <c r="V214" i="17"/>
  <c r="V215" i="17"/>
  <c r="V216" i="17"/>
  <c r="V217" i="17"/>
  <c r="V218" i="17"/>
  <c r="V219" i="17"/>
  <c r="V220" i="17"/>
  <c r="V221" i="17"/>
  <c r="V222" i="17"/>
  <c r="V223" i="17"/>
  <c r="V224" i="17"/>
  <c r="V225" i="17"/>
  <c r="V226" i="17"/>
  <c r="V227" i="17"/>
  <c r="V228" i="17"/>
  <c r="V229" i="17"/>
  <c r="V230" i="17"/>
  <c r="V231" i="17"/>
  <c r="V232" i="17"/>
  <c r="V233" i="17"/>
  <c r="V234" i="17"/>
  <c r="V35" i="17"/>
  <c r="M75" i="2" l="1"/>
  <c r="J44" i="18"/>
  <c r="J43" i="18"/>
  <c r="J44" i="7"/>
  <c r="J43" i="7"/>
  <c r="H44" i="18"/>
  <c r="H43" i="18"/>
  <c r="H43" i="7"/>
  <c r="H44" i="7"/>
  <c r="F43" i="7"/>
  <c r="F44" i="7"/>
  <c r="F44" i="18"/>
  <c r="F43" i="18"/>
  <c r="M91" i="2"/>
  <c r="E91" i="2" s="1"/>
  <c r="M113" i="2"/>
  <c r="E113" i="2" s="1"/>
  <c r="D44" i="18"/>
  <c r="M98" i="2"/>
  <c r="E98" i="2" s="1"/>
  <c r="M97" i="2"/>
  <c r="E97" i="2" s="1"/>
  <c r="M92" i="2"/>
  <c r="E92" i="2" s="1"/>
  <c r="M86" i="2"/>
  <c r="E86" i="2" s="1"/>
  <c r="F62" i="14"/>
  <c r="F61" i="14"/>
  <c r="F60" i="14"/>
  <c r="E67" i="2" l="1"/>
  <c r="K69" i="2"/>
  <c r="H69" i="2"/>
  <c r="G69" i="2"/>
  <c r="G12" i="5"/>
  <c r="M69" i="2" l="1"/>
  <c r="E69" i="2" s="1"/>
  <c r="I12" i="5"/>
  <c r="H12" i="5"/>
  <c r="AC238" i="17"/>
  <c r="L36" i="17"/>
  <c r="L38" i="17"/>
  <c r="L39" i="17"/>
  <c r="L40" i="17"/>
  <c r="L41" i="17"/>
  <c r="L42" i="17"/>
  <c r="L43" i="17"/>
  <c r="L44" i="17"/>
  <c r="L45" i="17"/>
  <c r="L46" i="17"/>
  <c r="L47" i="17"/>
  <c r="L48" i="17"/>
  <c r="L49" i="17"/>
  <c r="L50" i="17"/>
  <c r="L51" i="17"/>
  <c r="L52" i="17"/>
  <c r="L53" i="17"/>
  <c r="L54" i="17"/>
  <c r="L55" i="17"/>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93" i="17"/>
  <c r="L94" i="17"/>
  <c r="L95" i="17"/>
  <c r="L96" i="17"/>
  <c r="L97" i="17"/>
  <c r="L98" i="17"/>
  <c r="L99" i="17"/>
  <c r="L100" i="17"/>
  <c r="L101" i="17"/>
  <c r="L102" i="17"/>
  <c r="L103" i="17"/>
  <c r="L104" i="17"/>
  <c r="L105" i="17"/>
  <c r="L106" i="17"/>
  <c r="L107" i="17"/>
  <c r="L108" i="17"/>
  <c r="L109" i="17"/>
  <c r="L110" i="17"/>
  <c r="L111" i="17"/>
  <c r="L112" i="17"/>
  <c r="L113" i="17"/>
  <c r="L114" i="17"/>
  <c r="L115" i="17"/>
  <c r="L116" i="17"/>
  <c r="L117" i="17"/>
  <c r="L118" i="17"/>
  <c r="L119" i="17"/>
  <c r="L120" i="17"/>
  <c r="L121" i="17"/>
  <c r="L122" i="17"/>
  <c r="L123" i="17"/>
  <c r="L124" i="17"/>
  <c r="L125" i="17"/>
  <c r="L126" i="17"/>
  <c r="L127" i="17"/>
  <c r="L128" i="17"/>
  <c r="L129" i="17"/>
  <c r="L130" i="17"/>
  <c r="L131" i="17"/>
  <c r="L132" i="17"/>
  <c r="L133" i="17"/>
  <c r="L134" i="17"/>
  <c r="L135" i="17"/>
  <c r="L136" i="17"/>
  <c r="L137" i="17"/>
  <c r="L138" i="17"/>
  <c r="L139" i="17"/>
  <c r="L140" i="17"/>
  <c r="L141" i="17"/>
  <c r="L142" i="17"/>
  <c r="L143" i="17"/>
  <c r="L144" i="17"/>
  <c r="L145" i="17"/>
  <c r="L146" i="17"/>
  <c r="L147" i="17"/>
  <c r="L148" i="17"/>
  <c r="L149" i="17"/>
  <c r="L150" i="17"/>
  <c r="L151" i="17"/>
  <c r="L152" i="17"/>
  <c r="L153" i="17"/>
  <c r="L154" i="17"/>
  <c r="L155" i="17"/>
  <c r="L156" i="17"/>
  <c r="L157" i="17"/>
  <c r="L158" i="17"/>
  <c r="L159" i="17"/>
  <c r="L160" i="17"/>
  <c r="L161" i="17"/>
  <c r="L162" i="17"/>
  <c r="L163" i="17"/>
  <c r="L164" i="17"/>
  <c r="L165" i="17"/>
  <c r="L166" i="17"/>
  <c r="L167" i="17"/>
  <c r="L168" i="17"/>
  <c r="L169" i="17"/>
  <c r="L170" i="17"/>
  <c r="L171" i="17"/>
  <c r="L172" i="17"/>
  <c r="L173" i="17"/>
  <c r="L174" i="17"/>
  <c r="L175" i="17"/>
  <c r="L176" i="17"/>
  <c r="L177" i="17"/>
  <c r="L178" i="17"/>
  <c r="L179" i="17"/>
  <c r="L180" i="17"/>
  <c r="L181" i="17"/>
  <c r="L182" i="17"/>
  <c r="L183" i="17"/>
  <c r="L184" i="17"/>
  <c r="L185" i="17"/>
  <c r="L186" i="17"/>
  <c r="L187" i="17"/>
  <c r="L188" i="17"/>
  <c r="L189" i="17"/>
  <c r="L190" i="17"/>
  <c r="L191" i="17"/>
  <c r="L192" i="17"/>
  <c r="L193" i="17"/>
  <c r="L194" i="17"/>
  <c r="L195" i="17"/>
  <c r="L196" i="17"/>
  <c r="L197" i="17"/>
  <c r="L198" i="17"/>
  <c r="L199" i="17"/>
  <c r="L200" i="17"/>
  <c r="L201" i="17"/>
  <c r="L202" i="17"/>
  <c r="L203" i="17"/>
  <c r="L204" i="17"/>
  <c r="L205" i="17"/>
  <c r="L206" i="17"/>
  <c r="L207" i="17"/>
  <c r="L208" i="17"/>
  <c r="L209" i="17"/>
  <c r="L210" i="17"/>
  <c r="L211" i="17"/>
  <c r="L212" i="17"/>
  <c r="L213" i="17"/>
  <c r="L214" i="17"/>
  <c r="L215" i="17"/>
  <c r="L216" i="17"/>
  <c r="L217" i="17"/>
  <c r="L218" i="17"/>
  <c r="L219" i="17"/>
  <c r="L220" i="17"/>
  <c r="L221" i="17"/>
  <c r="L222" i="17"/>
  <c r="L223" i="17"/>
  <c r="L224" i="17"/>
  <c r="L225" i="17"/>
  <c r="L226" i="17"/>
  <c r="L227" i="17"/>
  <c r="L228" i="17"/>
  <c r="L229" i="17"/>
  <c r="L230" i="17"/>
  <c r="L231" i="17"/>
  <c r="L232" i="17"/>
  <c r="L233" i="17"/>
  <c r="L234" i="17"/>
  <c r="L35" i="17"/>
  <c r="C27" i="20" l="1"/>
  <c r="Q34" i="17"/>
  <c r="Q33" i="17"/>
  <c r="Q32" i="17"/>
  <c r="M33" i="17"/>
  <c r="M34" i="17"/>
  <c r="M32" i="17"/>
  <c r="F20" i="20" l="1"/>
  <c r="H12" i="2" s="1"/>
  <c r="F19" i="20"/>
  <c r="H11" i="2" s="1"/>
  <c r="F18" i="20"/>
  <c r="H10" i="2" s="1"/>
  <c r="F17" i="20"/>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K79" i="17"/>
  <c r="K80" i="17"/>
  <c r="K81" i="17"/>
  <c r="K82" i="17"/>
  <c r="K83" i="17"/>
  <c r="K84" i="17"/>
  <c r="K85" i="17"/>
  <c r="K86" i="17"/>
  <c r="K87" i="17"/>
  <c r="K88" i="17"/>
  <c r="K89" i="17"/>
  <c r="K90" i="17"/>
  <c r="K91" i="17"/>
  <c r="K92" i="17"/>
  <c r="K93" i="17"/>
  <c r="K94" i="17"/>
  <c r="K95" i="17"/>
  <c r="K96" i="17"/>
  <c r="K97" i="17"/>
  <c r="K98" i="17"/>
  <c r="K99" i="17"/>
  <c r="K100" i="17"/>
  <c r="K101" i="17"/>
  <c r="K102" i="17"/>
  <c r="K103" i="17"/>
  <c r="K104" i="17"/>
  <c r="K105" i="17"/>
  <c r="K106" i="17"/>
  <c r="K107" i="17"/>
  <c r="K108" i="17"/>
  <c r="K109" i="17"/>
  <c r="K110" i="17"/>
  <c r="K111" i="17"/>
  <c r="K112" i="17"/>
  <c r="K113" i="17"/>
  <c r="K114" i="17"/>
  <c r="K115" i="17"/>
  <c r="K116" i="17"/>
  <c r="K117" i="17"/>
  <c r="K118" i="17"/>
  <c r="K119" i="17"/>
  <c r="K120" i="17"/>
  <c r="K121" i="17"/>
  <c r="K122" i="17"/>
  <c r="K123" i="17"/>
  <c r="K124" i="17"/>
  <c r="K125" i="17"/>
  <c r="K126" i="17"/>
  <c r="K127" i="17"/>
  <c r="K128" i="17"/>
  <c r="K129" i="17"/>
  <c r="K130" i="17"/>
  <c r="K131" i="17"/>
  <c r="K132" i="17"/>
  <c r="K133" i="17"/>
  <c r="K134" i="17"/>
  <c r="K135" i="17"/>
  <c r="K136" i="17"/>
  <c r="K137" i="17"/>
  <c r="K138" i="17"/>
  <c r="K139" i="17"/>
  <c r="K140" i="17"/>
  <c r="K141" i="17"/>
  <c r="K142" i="17"/>
  <c r="K143" i="17"/>
  <c r="K144" i="17"/>
  <c r="K145" i="17"/>
  <c r="K146" i="17"/>
  <c r="K147" i="17"/>
  <c r="K148" i="17"/>
  <c r="K149" i="17"/>
  <c r="K150" i="17"/>
  <c r="K151" i="17"/>
  <c r="K152" i="17"/>
  <c r="K153" i="17"/>
  <c r="K154" i="17"/>
  <c r="K155" i="17"/>
  <c r="K156" i="17"/>
  <c r="K157" i="17"/>
  <c r="K158" i="17"/>
  <c r="K159" i="17"/>
  <c r="K160" i="17"/>
  <c r="K161" i="17"/>
  <c r="K162" i="17"/>
  <c r="K163" i="17"/>
  <c r="K164" i="17"/>
  <c r="K165" i="17"/>
  <c r="K166" i="17"/>
  <c r="K167" i="17"/>
  <c r="K168" i="17"/>
  <c r="K169" i="17"/>
  <c r="K170" i="17"/>
  <c r="K171" i="17"/>
  <c r="K172" i="17"/>
  <c r="K173" i="17"/>
  <c r="K174" i="17"/>
  <c r="K175" i="17"/>
  <c r="K176" i="17"/>
  <c r="K177" i="17"/>
  <c r="K178" i="17"/>
  <c r="K179" i="17"/>
  <c r="K180" i="17"/>
  <c r="K181" i="17"/>
  <c r="K182" i="17"/>
  <c r="K183" i="17"/>
  <c r="K184" i="17"/>
  <c r="K185" i="17"/>
  <c r="K186" i="17"/>
  <c r="K187" i="17"/>
  <c r="K188" i="17"/>
  <c r="K189" i="17"/>
  <c r="K190" i="17"/>
  <c r="K191" i="17"/>
  <c r="K192" i="17"/>
  <c r="K193" i="17"/>
  <c r="K194" i="17"/>
  <c r="K195" i="17"/>
  <c r="K196" i="17"/>
  <c r="K197" i="17"/>
  <c r="K198" i="17"/>
  <c r="K199" i="17"/>
  <c r="K200" i="17"/>
  <c r="K201" i="17"/>
  <c r="K202" i="17"/>
  <c r="K203" i="17"/>
  <c r="K204" i="17"/>
  <c r="K205" i="17"/>
  <c r="K206" i="17"/>
  <c r="K207" i="17"/>
  <c r="K208" i="17"/>
  <c r="K209" i="17"/>
  <c r="K210" i="17"/>
  <c r="K211" i="17"/>
  <c r="K212" i="17"/>
  <c r="K213" i="17"/>
  <c r="K214" i="17"/>
  <c r="K215" i="17"/>
  <c r="K216" i="17"/>
  <c r="K217" i="17"/>
  <c r="K218" i="17"/>
  <c r="K219" i="17"/>
  <c r="K220" i="17"/>
  <c r="K221" i="17"/>
  <c r="K222" i="17"/>
  <c r="K223" i="17"/>
  <c r="K224" i="17"/>
  <c r="K225" i="17"/>
  <c r="K226" i="17"/>
  <c r="K227" i="17"/>
  <c r="K228" i="17"/>
  <c r="K229" i="17"/>
  <c r="K230" i="17"/>
  <c r="K231" i="17"/>
  <c r="K232" i="17"/>
  <c r="K233" i="17"/>
  <c r="K234" i="17"/>
  <c r="M35" i="17"/>
  <c r="P36" i="17"/>
  <c r="P37" i="17"/>
  <c r="P38" i="17"/>
  <c r="P39" i="17"/>
  <c r="P40" i="17"/>
  <c r="P41" i="17"/>
  <c r="P42" i="17"/>
  <c r="P43" i="17"/>
  <c r="P44" i="17"/>
  <c r="P45" i="17"/>
  <c r="P46" i="17"/>
  <c r="P47" i="17"/>
  <c r="P48" i="17"/>
  <c r="P49" i="17"/>
  <c r="P50" i="17"/>
  <c r="P51" i="17"/>
  <c r="P52" i="17"/>
  <c r="P53" i="17"/>
  <c r="P54" i="17"/>
  <c r="P55" i="17"/>
  <c r="P56" i="17"/>
  <c r="P57" i="17"/>
  <c r="P58" i="17"/>
  <c r="P59" i="17"/>
  <c r="P60" i="17"/>
  <c r="P61" i="17"/>
  <c r="P62" i="17"/>
  <c r="P63" i="17"/>
  <c r="P64" i="17"/>
  <c r="P65" i="17"/>
  <c r="P66" i="17"/>
  <c r="P67" i="17"/>
  <c r="P68" i="17"/>
  <c r="P69" i="17"/>
  <c r="P70" i="17"/>
  <c r="P71" i="17"/>
  <c r="P72" i="17"/>
  <c r="P73" i="17"/>
  <c r="P74" i="17"/>
  <c r="P75" i="17"/>
  <c r="P76" i="17"/>
  <c r="P77" i="17"/>
  <c r="P78" i="17"/>
  <c r="P79" i="17"/>
  <c r="P80" i="17"/>
  <c r="P81" i="17"/>
  <c r="P82" i="17"/>
  <c r="P83" i="17"/>
  <c r="P84" i="17"/>
  <c r="P85" i="17"/>
  <c r="P86" i="17"/>
  <c r="P87" i="17"/>
  <c r="P88" i="17"/>
  <c r="P89" i="17"/>
  <c r="P90" i="17"/>
  <c r="P91" i="17"/>
  <c r="P92" i="17"/>
  <c r="P93" i="17"/>
  <c r="P94" i="17"/>
  <c r="P95" i="17"/>
  <c r="P96" i="17"/>
  <c r="P97" i="17"/>
  <c r="P98" i="17"/>
  <c r="P99" i="17"/>
  <c r="P100" i="17"/>
  <c r="P101" i="17"/>
  <c r="P102" i="17"/>
  <c r="P103" i="17"/>
  <c r="P104" i="17"/>
  <c r="P105" i="17"/>
  <c r="P106" i="17"/>
  <c r="P107" i="17"/>
  <c r="P108" i="17"/>
  <c r="P109" i="17"/>
  <c r="P110" i="17"/>
  <c r="P111" i="17"/>
  <c r="P112" i="17"/>
  <c r="P113" i="17"/>
  <c r="P114" i="17"/>
  <c r="P115" i="17"/>
  <c r="P116" i="17"/>
  <c r="P117" i="17"/>
  <c r="P118" i="17"/>
  <c r="P119" i="17"/>
  <c r="P120" i="17"/>
  <c r="P121" i="17"/>
  <c r="P122" i="17"/>
  <c r="P123" i="17"/>
  <c r="P124" i="17"/>
  <c r="P125" i="17"/>
  <c r="P126" i="17"/>
  <c r="P127" i="17"/>
  <c r="P128" i="17"/>
  <c r="P129" i="17"/>
  <c r="P130" i="17"/>
  <c r="P131" i="17"/>
  <c r="P132" i="17"/>
  <c r="P133" i="17"/>
  <c r="P134" i="17"/>
  <c r="P135" i="17"/>
  <c r="P136" i="17"/>
  <c r="P137" i="17"/>
  <c r="P138" i="17"/>
  <c r="P139" i="17"/>
  <c r="P140" i="17"/>
  <c r="P141" i="17"/>
  <c r="P142" i="17"/>
  <c r="P143" i="17"/>
  <c r="P144" i="17"/>
  <c r="P145" i="17"/>
  <c r="P146" i="17"/>
  <c r="P147" i="17"/>
  <c r="P148" i="17"/>
  <c r="P149" i="17"/>
  <c r="P150" i="17"/>
  <c r="P151" i="17"/>
  <c r="P152" i="17"/>
  <c r="P153" i="17"/>
  <c r="P154" i="17"/>
  <c r="P155" i="17"/>
  <c r="P156" i="17"/>
  <c r="P157" i="17"/>
  <c r="P158" i="17"/>
  <c r="P159" i="17"/>
  <c r="P160" i="17"/>
  <c r="P161" i="17"/>
  <c r="P162" i="17"/>
  <c r="P163" i="17"/>
  <c r="P164" i="17"/>
  <c r="P165" i="17"/>
  <c r="P166" i="17"/>
  <c r="P167" i="17"/>
  <c r="P168" i="17"/>
  <c r="P169" i="17"/>
  <c r="P170" i="17"/>
  <c r="P171" i="17"/>
  <c r="P172" i="17"/>
  <c r="P173" i="17"/>
  <c r="P174" i="17"/>
  <c r="P175" i="17"/>
  <c r="P176" i="17"/>
  <c r="P177" i="17"/>
  <c r="P178" i="17"/>
  <c r="P179" i="17"/>
  <c r="P180" i="17"/>
  <c r="P181" i="17"/>
  <c r="P182" i="17"/>
  <c r="P183" i="17"/>
  <c r="P184" i="17"/>
  <c r="P185" i="17"/>
  <c r="P186" i="17"/>
  <c r="P187" i="17"/>
  <c r="P188" i="17"/>
  <c r="P189" i="17"/>
  <c r="P190" i="17"/>
  <c r="P191" i="17"/>
  <c r="P192" i="17"/>
  <c r="P193" i="17"/>
  <c r="P194" i="17"/>
  <c r="P195" i="17"/>
  <c r="P196" i="17"/>
  <c r="P197" i="17"/>
  <c r="P198" i="17"/>
  <c r="P199" i="17"/>
  <c r="P200" i="17"/>
  <c r="P201" i="17"/>
  <c r="P202" i="17"/>
  <c r="P203" i="17"/>
  <c r="P204" i="17"/>
  <c r="P205" i="17"/>
  <c r="P206" i="17"/>
  <c r="P207" i="17"/>
  <c r="P208" i="17"/>
  <c r="P209" i="17"/>
  <c r="P210" i="17"/>
  <c r="P211" i="17"/>
  <c r="P212" i="17"/>
  <c r="P213" i="17"/>
  <c r="P214" i="17"/>
  <c r="P215" i="17"/>
  <c r="P216" i="17"/>
  <c r="P217" i="17"/>
  <c r="P218" i="17"/>
  <c r="P219" i="17"/>
  <c r="P220" i="17"/>
  <c r="P221" i="17"/>
  <c r="P222" i="17"/>
  <c r="P223" i="17"/>
  <c r="P224" i="17"/>
  <c r="P225" i="17"/>
  <c r="P226" i="17"/>
  <c r="P227" i="17"/>
  <c r="P228" i="17"/>
  <c r="P229" i="17"/>
  <c r="P230" i="17"/>
  <c r="P231" i="17"/>
  <c r="P232" i="17"/>
  <c r="P233" i="17"/>
  <c r="P234" i="17"/>
  <c r="P35" i="17"/>
  <c r="U43" i="17"/>
  <c r="U44" i="17"/>
  <c r="U45" i="17"/>
  <c r="U46" i="17"/>
  <c r="U47" i="17"/>
  <c r="U48" i="17"/>
  <c r="U49" i="17"/>
  <c r="U50" i="17"/>
  <c r="U51" i="17"/>
  <c r="U52" i="17"/>
  <c r="U53" i="17"/>
  <c r="U54" i="17"/>
  <c r="U55" i="17"/>
  <c r="U56" i="17"/>
  <c r="U57" i="17"/>
  <c r="U58" i="17"/>
  <c r="U59" i="17"/>
  <c r="U60" i="17"/>
  <c r="U61" i="17"/>
  <c r="U62" i="17"/>
  <c r="U63" i="17"/>
  <c r="U64" i="17"/>
  <c r="U65" i="17"/>
  <c r="U66" i="17"/>
  <c r="U67" i="17"/>
  <c r="U68" i="17"/>
  <c r="U69" i="17"/>
  <c r="U70" i="17"/>
  <c r="U71" i="17"/>
  <c r="U72" i="17"/>
  <c r="U73" i="17"/>
  <c r="U74" i="17"/>
  <c r="U75" i="17"/>
  <c r="U76" i="17"/>
  <c r="U77" i="17"/>
  <c r="U78" i="17"/>
  <c r="U79" i="17"/>
  <c r="U80" i="17"/>
  <c r="U81" i="17"/>
  <c r="U82" i="17"/>
  <c r="U83" i="17"/>
  <c r="U84" i="17"/>
  <c r="U85" i="17"/>
  <c r="U86" i="17"/>
  <c r="U87" i="17"/>
  <c r="U88" i="17"/>
  <c r="U89" i="17"/>
  <c r="U90" i="17"/>
  <c r="U91" i="17"/>
  <c r="U92" i="17"/>
  <c r="U93" i="17"/>
  <c r="U94" i="17"/>
  <c r="U95" i="17"/>
  <c r="U96" i="17"/>
  <c r="U97" i="17"/>
  <c r="U98" i="17"/>
  <c r="U99" i="17"/>
  <c r="U100" i="17"/>
  <c r="U101" i="17"/>
  <c r="U102" i="17"/>
  <c r="U103" i="17"/>
  <c r="U104" i="17"/>
  <c r="U105" i="17"/>
  <c r="U106" i="17"/>
  <c r="U107" i="17"/>
  <c r="U108" i="17"/>
  <c r="U109" i="17"/>
  <c r="U110" i="17"/>
  <c r="U111" i="17"/>
  <c r="U112" i="17"/>
  <c r="U113" i="17"/>
  <c r="U114" i="17"/>
  <c r="U115" i="17"/>
  <c r="U116" i="17"/>
  <c r="U117" i="17"/>
  <c r="U118" i="17"/>
  <c r="U119" i="17"/>
  <c r="U120" i="17"/>
  <c r="U121" i="17"/>
  <c r="U122" i="17"/>
  <c r="U123" i="17"/>
  <c r="U124" i="17"/>
  <c r="U125" i="17"/>
  <c r="U126" i="17"/>
  <c r="U127" i="17"/>
  <c r="U128" i="17"/>
  <c r="U129" i="17"/>
  <c r="U130" i="17"/>
  <c r="U131" i="17"/>
  <c r="U132" i="17"/>
  <c r="U133" i="17"/>
  <c r="U134" i="17"/>
  <c r="U135" i="17"/>
  <c r="U136" i="17"/>
  <c r="U137" i="17"/>
  <c r="U138" i="17"/>
  <c r="U139" i="17"/>
  <c r="U140" i="17"/>
  <c r="U141" i="17"/>
  <c r="U142" i="17"/>
  <c r="U143" i="17"/>
  <c r="U144" i="17"/>
  <c r="U145" i="17"/>
  <c r="U146" i="17"/>
  <c r="U147" i="17"/>
  <c r="U148" i="17"/>
  <c r="U149" i="17"/>
  <c r="U150" i="17"/>
  <c r="U151" i="17"/>
  <c r="U152" i="17"/>
  <c r="U153" i="17"/>
  <c r="U154" i="17"/>
  <c r="U155" i="17"/>
  <c r="U156" i="17"/>
  <c r="U157" i="17"/>
  <c r="U158" i="17"/>
  <c r="U159" i="17"/>
  <c r="U160" i="17"/>
  <c r="U161" i="17"/>
  <c r="U162" i="17"/>
  <c r="U163" i="17"/>
  <c r="U164" i="17"/>
  <c r="U165" i="17"/>
  <c r="U166" i="17"/>
  <c r="U167" i="17"/>
  <c r="U168" i="17"/>
  <c r="U169" i="17"/>
  <c r="U170" i="17"/>
  <c r="U171" i="17"/>
  <c r="U172" i="17"/>
  <c r="U173" i="17"/>
  <c r="U174" i="17"/>
  <c r="U175" i="17"/>
  <c r="U176" i="17"/>
  <c r="U177" i="17"/>
  <c r="U178" i="17"/>
  <c r="U179" i="17"/>
  <c r="U180" i="17"/>
  <c r="U181" i="17"/>
  <c r="U182" i="17"/>
  <c r="U183" i="17"/>
  <c r="U184" i="17"/>
  <c r="U185" i="17"/>
  <c r="U186" i="17"/>
  <c r="U187" i="17"/>
  <c r="U188" i="17"/>
  <c r="U189" i="17"/>
  <c r="U190" i="17"/>
  <c r="U191" i="17"/>
  <c r="U192" i="17"/>
  <c r="U193" i="17"/>
  <c r="U194" i="17"/>
  <c r="U195" i="17"/>
  <c r="U196" i="17"/>
  <c r="U197" i="17"/>
  <c r="U198" i="17"/>
  <c r="U199" i="17"/>
  <c r="U200" i="17"/>
  <c r="U201" i="17"/>
  <c r="U202" i="17"/>
  <c r="U203" i="17"/>
  <c r="U204" i="17"/>
  <c r="U205" i="17"/>
  <c r="U206" i="17"/>
  <c r="U207" i="17"/>
  <c r="U208" i="17"/>
  <c r="U209" i="17"/>
  <c r="U210" i="17"/>
  <c r="U211" i="17"/>
  <c r="U212" i="17"/>
  <c r="U213" i="17"/>
  <c r="U214" i="17"/>
  <c r="U215" i="17"/>
  <c r="U216" i="17"/>
  <c r="U217" i="17"/>
  <c r="U218" i="17"/>
  <c r="U219" i="17"/>
  <c r="U220" i="17"/>
  <c r="U221" i="17"/>
  <c r="U222" i="17"/>
  <c r="U223" i="17"/>
  <c r="U224" i="17"/>
  <c r="U225" i="17"/>
  <c r="U226" i="17"/>
  <c r="U227" i="17"/>
  <c r="U228" i="17"/>
  <c r="U229" i="17"/>
  <c r="U230" i="17"/>
  <c r="U231" i="17"/>
  <c r="U232" i="17"/>
  <c r="U233" i="17"/>
  <c r="U234" i="17"/>
  <c r="T43" i="17"/>
  <c r="T44" i="17"/>
  <c r="T45" i="17"/>
  <c r="T46" i="17"/>
  <c r="T47" i="17"/>
  <c r="T48" i="17"/>
  <c r="T49" i="17"/>
  <c r="T50" i="17"/>
  <c r="T51" i="17"/>
  <c r="T52" i="17"/>
  <c r="T53" i="17"/>
  <c r="T54" i="17"/>
  <c r="T55" i="17"/>
  <c r="T56" i="17"/>
  <c r="T57" i="17"/>
  <c r="T58" i="17"/>
  <c r="T59" i="17"/>
  <c r="T60" i="17"/>
  <c r="T61" i="17"/>
  <c r="T62" i="17"/>
  <c r="T63" i="17"/>
  <c r="T64" i="17"/>
  <c r="T65" i="17"/>
  <c r="T66" i="17"/>
  <c r="T67" i="17"/>
  <c r="T68" i="17"/>
  <c r="T69" i="17"/>
  <c r="T70" i="17"/>
  <c r="T71" i="17"/>
  <c r="T72" i="17"/>
  <c r="T73" i="17"/>
  <c r="T74" i="17"/>
  <c r="T75" i="17"/>
  <c r="T76" i="17"/>
  <c r="T77" i="17"/>
  <c r="T78" i="17"/>
  <c r="T79" i="17"/>
  <c r="T80" i="17"/>
  <c r="T81" i="17"/>
  <c r="T82" i="17"/>
  <c r="T83" i="17"/>
  <c r="T84" i="17"/>
  <c r="T85" i="17"/>
  <c r="T86" i="17"/>
  <c r="T87" i="17"/>
  <c r="T88" i="17"/>
  <c r="T89" i="17"/>
  <c r="T90" i="17"/>
  <c r="T91" i="17"/>
  <c r="T92" i="17"/>
  <c r="T93" i="17"/>
  <c r="T94" i="17"/>
  <c r="T95" i="17"/>
  <c r="T96" i="17"/>
  <c r="T97" i="17"/>
  <c r="T98" i="17"/>
  <c r="T99" i="17"/>
  <c r="T100" i="17"/>
  <c r="T101" i="17"/>
  <c r="T102" i="17"/>
  <c r="T103" i="17"/>
  <c r="T104" i="17"/>
  <c r="T105" i="17"/>
  <c r="T106" i="17"/>
  <c r="T107" i="17"/>
  <c r="T108" i="17"/>
  <c r="T109" i="17"/>
  <c r="T110" i="17"/>
  <c r="T111" i="17"/>
  <c r="T112" i="17"/>
  <c r="T113" i="17"/>
  <c r="T114" i="17"/>
  <c r="T115" i="17"/>
  <c r="T116" i="17"/>
  <c r="T117" i="17"/>
  <c r="T118" i="17"/>
  <c r="T119" i="17"/>
  <c r="T120" i="17"/>
  <c r="T121" i="17"/>
  <c r="T122" i="17"/>
  <c r="T123" i="17"/>
  <c r="T124" i="17"/>
  <c r="T125" i="17"/>
  <c r="T126" i="17"/>
  <c r="T127" i="17"/>
  <c r="T128" i="17"/>
  <c r="T129" i="17"/>
  <c r="T130" i="17"/>
  <c r="T131" i="17"/>
  <c r="T132" i="17"/>
  <c r="T133" i="17"/>
  <c r="T134" i="17"/>
  <c r="T135" i="17"/>
  <c r="T136" i="17"/>
  <c r="T137" i="17"/>
  <c r="T138" i="17"/>
  <c r="T139" i="17"/>
  <c r="T140" i="17"/>
  <c r="T141" i="17"/>
  <c r="T142" i="17"/>
  <c r="T143" i="17"/>
  <c r="T144" i="17"/>
  <c r="T145" i="17"/>
  <c r="T146" i="17"/>
  <c r="T147" i="17"/>
  <c r="T148" i="17"/>
  <c r="T149" i="17"/>
  <c r="T150" i="17"/>
  <c r="T151" i="17"/>
  <c r="T152" i="17"/>
  <c r="T153" i="17"/>
  <c r="T154" i="17"/>
  <c r="T155" i="17"/>
  <c r="T156" i="17"/>
  <c r="T157" i="17"/>
  <c r="T158" i="17"/>
  <c r="T159" i="17"/>
  <c r="T160" i="17"/>
  <c r="T161" i="17"/>
  <c r="T162" i="17"/>
  <c r="T163" i="17"/>
  <c r="T164" i="17"/>
  <c r="T165" i="17"/>
  <c r="T166" i="17"/>
  <c r="T167" i="17"/>
  <c r="T168" i="17"/>
  <c r="T169" i="17"/>
  <c r="T170" i="17"/>
  <c r="T171" i="17"/>
  <c r="T172" i="17"/>
  <c r="T173" i="17"/>
  <c r="T174" i="17"/>
  <c r="T175" i="17"/>
  <c r="T176" i="17"/>
  <c r="T177" i="17"/>
  <c r="T178" i="17"/>
  <c r="T179" i="17"/>
  <c r="T180" i="17"/>
  <c r="T181" i="17"/>
  <c r="T182" i="17"/>
  <c r="T183" i="17"/>
  <c r="T184" i="17"/>
  <c r="T185" i="17"/>
  <c r="T186" i="17"/>
  <c r="T187" i="17"/>
  <c r="T188" i="17"/>
  <c r="T189" i="17"/>
  <c r="T190" i="17"/>
  <c r="T191" i="17"/>
  <c r="T192" i="17"/>
  <c r="T193" i="17"/>
  <c r="T194" i="17"/>
  <c r="T195" i="17"/>
  <c r="T196" i="17"/>
  <c r="T197" i="17"/>
  <c r="T198" i="17"/>
  <c r="T199" i="17"/>
  <c r="T200" i="17"/>
  <c r="T201" i="17"/>
  <c r="T202" i="17"/>
  <c r="T203" i="17"/>
  <c r="T204" i="17"/>
  <c r="T205" i="17"/>
  <c r="T206" i="17"/>
  <c r="T207" i="17"/>
  <c r="T208" i="17"/>
  <c r="T209" i="17"/>
  <c r="T210" i="17"/>
  <c r="T211" i="17"/>
  <c r="T212" i="17"/>
  <c r="T213" i="17"/>
  <c r="T214" i="17"/>
  <c r="T215" i="17"/>
  <c r="T216" i="17"/>
  <c r="T217" i="17"/>
  <c r="T218" i="17"/>
  <c r="T219" i="17"/>
  <c r="T220" i="17"/>
  <c r="T221" i="17"/>
  <c r="T222" i="17"/>
  <c r="T223" i="17"/>
  <c r="T224" i="17"/>
  <c r="T225" i="17"/>
  <c r="T226" i="17"/>
  <c r="T227" i="17"/>
  <c r="T228" i="17"/>
  <c r="T229" i="17"/>
  <c r="T230" i="17"/>
  <c r="T231" i="17"/>
  <c r="T232" i="17"/>
  <c r="T233" i="17"/>
  <c r="T234" i="17"/>
  <c r="AA36" i="17"/>
  <c r="AA37" i="17"/>
  <c r="AA38" i="17"/>
  <c r="AA39" i="17"/>
  <c r="AA40" i="17"/>
  <c r="AA41" i="17"/>
  <c r="AA42" i="17"/>
  <c r="AA43" i="17"/>
  <c r="AA44" i="17"/>
  <c r="AA45" i="17"/>
  <c r="AA46" i="17"/>
  <c r="AA47" i="17"/>
  <c r="AA48" i="17"/>
  <c r="AA49" i="17"/>
  <c r="AA50" i="17"/>
  <c r="AA51" i="17"/>
  <c r="AA52" i="17"/>
  <c r="AA53" i="17"/>
  <c r="AA54" i="17"/>
  <c r="AA55" i="17"/>
  <c r="AA56" i="17"/>
  <c r="AA57" i="17"/>
  <c r="AA58" i="17"/>
  <c r="AA59" i="17"/>
  <c r="AA60" i="17"/>
  <c r="AA61" i="17"/>
  <c r="AA62" i="17"/>
  <c r="AA63" i="17"/>
  <c r="AA64" i="17"/>
  <c r="AA65" i="17"/>
  <c r="AA66" i="17"/>
  <c r="AA67" i="17"/>
  <c r="AA68" i="17"/>
  <c r="AA69" i="17"/>
  <c r="AA70" i="17"/>
  <c r="AA71" i="17"/>
  <c r="AA72" i="17"/>
  <c r="AA73" i="17"/>
  <c r="AA74" i="17"/>
  <c r="AA75" i="17"/>
  <c r="AA76" i="17"/>
  <c r="AA77" i="17"/>
  <c r="AA78" i="17"/>
  <c r="AA79" i="17"/>
  <c r="AA80" i="17"/>
  <c r="AA81" i="17"/>
  <c r="AA82" i="17"/>
  <c r="AA83" i="17"/>
  <c r="AA84" i="17"/>
  <c r="AA85" i="17"/>
  <c r="AA86" i="17"/>
  <c r="AA87" i="17"/>
  <c r="AA88" i="17"/>
  <c r="AA89" i="17"/>
  <c r="AA90" i="17"/>
  <c r="AA91" i="17"/>
  <c r="AA92" i="17"/>
  <c r="AA93" i="17"/>
  <c r="AA94" i="17"/>
  <c r="AA95" i="17"/>
  <c r="AA96" i="17"/>
  <c r="AA97" i="17"/>
  <c r="AA98" i="17"/>
  <c r="AA99" i="17"/>
  <c r="AA100" i="17"/>
  <c r="AA101" i="17"/>
  <c r="AA102" i="17"/>
  <c r="AA103" i="17"/>
  <c r="AA104" i="17"/>
  <c r="AA105" i="17"/>
  <c r="AA106" i="17"/>
  <c r="AA107" i="17"/>
  <c r="AA108" i="17"/>
  <c r="AA109" i="17"/>
  <c r="AA110" i="17"/>
  <c r="AA111" i="17"/>
  <c r="AA112" i="17"/>
  <c r="AA113" i="17"/>
  <c r="AA114" i="17"/>
  <c r="AA115" i="17"/>
  <c r="AA116" i="17"/>
  <c r="AA117" i="17"/>
  <c r="AA118" i="17"/>
  <c r="AA119" i="17"/>
  <c r="AA120" i="17"/>
  <c r="AA121" i="17"/>
  <c r="AA122" i="17"/>
  <c r="AA123" i="17"/>
  <c r="AA124" i="17"/>
  <c r="AA125" i="17"/>
  <c r="AA126" i="17"/>
  <c r="AA127" i="17"/>
  <c r="AA128" i="17"/>
  <c r="AA129" i="17"/>
  <c r="AA130" i="17"/>
  <c r="AA131" i="17"/>
  <c r="AA132" i="17"/>
  <c r="AA133" i="17"/>
  <c r="AA134" i="17"/>
  <c r="AA135" i="17"/>
  <c r="AA136" i="17"/>
  <c r="AA137" i="17"/>
  <c r="AA138" i="17"/>
  <c r="AA139" i="17"/>
  <c r="AA140" i="17"/>
  <c r="AA141" i="17"/>
  <c r="AA142" i="17"/>
  <c r="AA143" i="17"/>
  <c r="AA144" i="17"/>
  <c r="AA145" i="17"/>
  <c r="AA146" i="17"/>
  <c r="AA147" i="17"/>
  <c r="AA148" i="17"/>
  <c r="AA149" i="17"/>
  <c r="AA150" i="17"/>
  <c r="AA151" i="17"/>
  <c r="AA152" i="17"/>
  <c r="AA153" i="17"/>
  <c r="AA154" i="17"/>
  <c r="AA155" i="17"/>
  <c r="AA156" i="17"/>
  <c r="AA157" i="17"/>
  <c r="AA158" i="17"/>
  <c r="AA159" i="17"/>
  <c r="AA160" i="17"/>
  <c r="AA161" i="17"/>
  <c r="AA162" i="17"/>
  <c r="AA163" i="17"/>
  <c r="AA164" i="17"/>
  <c r="AA165" i="17"/>
  <c r="AA166" i="17"/>
  <c r="AA167" i="17"/>
  <c r="AA168" i="17"/>
  <c r="AA169" i="17"/>
  <c r="AA170" i="17"/>
  <c r="AA171" i="17"/>
  <c r="AA172" i="17"/>
  <c r="AA173" i="17"/>
  <c r="AA174" i="17"/>
  <c r="AA175" i="17"/>
  <c r="AA176" i="17"/>
  <c r="AA177" i="17"/>
  <c r="AA178" i="17"/>
  <c r="AA179" i="17"/>
  <c r="AA180" i="17"/>
  <c r="AA181" i="17"/>
  <c r="AA182" i="17"/>
  <c r="AA183" i="17"/>
  <c r="AA184" i="17"/>
  <c r="AA185" i="17"/>
  <c r="AA186" i="17"/>
  <c r="AA187" i="17"/>
  <c r="AA188" i="17"/>
  <c r="AA189" i="17"/>
  <c r="AA190" i="17"/>
  <c r="AA191" i="17"/>
  <c r="AA192" i="17"/>
  <c r="AA193" i="17"/>
  <c r="AA194" i="17"/>
  <c r="AA195" i="17"/>
  <c r="AA196" i="17"/>
  <c r="AA197" i="17"/>
  <c r="AA198" i="17"/>
  <c r="AA199" i="17"/>
  <c r="AA200" i="17"/>
  <c r="AA201" i="17"/>
  <c r="AA202" i="17"/>
  <c r="AA203" i="17"/>
  <c r="AA204" i="17"/>
  <c r="AA205" i="17"/>
  <c r="AA206" i="17"/>
  <c r="AA207" i="17"/>
  <c r="AA208" i="17"/>
  <c r="AA209" i="17"/>
  <c r="AA210" i="17"/>
  <c r="AA211" i="17"/>
  <c r="AA212" i="17"/>
  <c r="AA213" i="17"/>
  <c r="AA214" i="17"/>
  <c r="AA215" i="17"/>
  <c r="AA216" i="17"/>
  <c r="AA217" i="17"/>
  <c r="AA218" i="17"/>
  <c r="AA219" i="17"/>
  <c r="AA220" i="17"/>
  <c r="AA221" i="17"/>
  <c r="AA222" i="17"/>
  <c r="AA223" i="17"/>
  <c r="AA224" i="17"/>
  <c r="AA225" i="17"/>
  <c r="AA226" i="17"/>
  <c r="AA227" i="17"/>
  <c r="AA228" i="17"/>
  <c r="AA229" i="17"/>
  <c r="AA230" i="17"/>
  <c r="AA231" i="17"/>
  <c r="AA232" i="17"/>
  <c r="AA233" i="17"/>
  <c r="AA234" i="17"/>
  <c r="C9" i="20" l="1"/>
  <c r="H34" i="17" l="1"/>
  <c r="AF23" i="17"/>
  <c r="K32" i="17" l="1"/>
  <c r="K33" i="17"/>
  <c r="K34" i="17"/>
  <c r="B11" i="20"/>
  <c r="K36" i="17"/>
  <c r="B12" i="20"/>
  <c r="K39" i="17"/>
  <c r="K35" i="17"/>
  <c r="I34" i="17" l="1"/>
  <c r="M234" i="17"/>
  <c r="M233" i="17"/>
  <c r="M232" i="17"/>
  <c r="M231" i="17"/>
  <c r="M230" i="17"/>
  <c r="M229" i="17"/>
  <c r="M228" i="17"/>
  <c r="M227" i="17"/>
  <c r="M226" i="17"/>
  <c r="M225" i="17"/>
  <c r="M224" i="17"/>
  <c r="M223" i="17"/>
  <c r="M222" i="17"/>
  <c r="M221" i="17"/>
  <c r="M220" i="17"/>
  <c r="M219" i="17"/>
  <c r="M218" i="17"/>
  <c r="M217" i="17"/>
  <c r="M216" i="17"/>
  <c r="M215" i="17"/>
  <c r="M214" i="17"/>
  <c r="M213" i="17"/>
  <c r="M212" i="17"/>
  <c r="M211" i="17"/>
  <c r="M210" i="17"/>
  <c r="M209" i="17"/>
  <c r="M208" i="17"/>
  <c r="M207" i="17"/>
  <c r="M206" i="17"/>
  <c r="M205" i="17"/>
  <c r="M204" i="17"/>
  <c r="M203" i="17"/>
  <c r="M202" i="17"/>
  <c r="M201" i="17"/>
  <c r="M200" i="17"/>
  <c r="M199" i="17"/>
  <c r="M198" i="17"/>
  <c r="M197" i="17"/>
  <c r="M196" i="17"/>
  <c r="M195" i="17"/>
  <c r="M194" i="17"/>
  <c r="M193" i="17"/>
  <c r="M192" i="17"/>
  <c r="M191" i="17"/>
  <c r="M190" i="17"/>
  <c r="M189" i="17"/>
  <c r="M188" i="17"/>
  <c r="M187" i="17"/>
  <c r="M186" i="17"/>
  <c r="M185" i="17"/>
  <c r="M184" i="17"/>
  <c r="M183" i="17"/>
  <c r="M182" i="17"/>
  <c r="M181" i="17"/>
  <c r="M180" i="17"/>
  <c r="M179" i="17"/>
  <c r="M178" i="17"/>
  <c r="M177" i="17"/>
  <c r="M176" i="17"/>
  <c r="M175" i="17"/>
  <c r="M174" i="17"/>
  <c r="M173" i="17"/>
  <c r="M172" i="17"/>
  <c r="M171" i="17"/>
  <c r="M170" i="17"/>
  <c r="M169" i="17"/>
  <c r="M168" i="17"/>
  <c r="M167" i="17"/>
  <c r="M166" i="17"/>
  <c r="M165" i="17"/>
  <c r="M164" i="17"/>
  <c r="M163" i="17"/>
  <c r="M162" i="17"/>
  <c r="M161" i="17"/>
  <c r="M160" i="17"/>
  <c r="M159" i="17"/>
  <c r="M158" i="17"/>
  <c r="M157" i="17"/>
  <c r="M156" i="17"/>
  <c r="M155" i="17"/>
  <c r="M154" i="17"/>
  <c r="M153" i="17"/>
  <c r="M152" i="17"/>
  <c r="M151" i="17"/>
  <c r="M150" i="17"/>
  <c r="M149" i="17"/>
  <c r="M148" i="17"/>
  <c r="M147" i="17"/>
  <c r="M146" i="17"/>
  <c r="M145" i="17"/>
  <c r="M144" i="17"/>
  <c r="M143" i="17"/>
  <c r="M142" i="17"/>
  <c r="M141" i="17"/>
  <c r="M140" i="17"/>
  <c r="M139" i="17"/>
  <c r="M138" i="17"/>
  <c r="M137" i="17"/>
  <c r="M136" i="17"/>
  <c r="M135" i="17"/>
  <c r="M134" i="17"/>
  <c r="M133" i="17"/>
  <c r="M132" i="17"/>
  <c r="M131" i="17"/>
  <c r="M130" i="17"/>
  <c r="M129" i="17"/>
  <c r="M128" i="17"/>
  <c r="M127" i="17"/>
  <c r="M126" i="17"/>
  <c r="M125" i="17"/>
  <c r="M124" i="17"/>
  <c r="M123" i="17"/>
  <c r="M122" i="17"/>
  <c r="M121" i="17"/>
  <c r="M120" i="17"/>
  <c r="M119" i="17"/>
  <c r="M118" i="17"/>
  <c r="M117" i="17"/>
  <c r="M116" i="17"/>
  <c r="M115" i="17"/>
  <c r="M114" i="17"/>
  <c r="M113" i="17"/>
  <c r="M112" i="17"/>
  <c r="M111" i="17"/>
  <c r="M110" i="17"/>
  <c r="M109" i="17"/>
  <c r="M108" i="17"/>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Q234" i="17"/>
  <c r="Q233" i="17"/>
  <c r="Q232" i="17"/>
  <c r="Q231" i="17"/>
  <c r="Q230" i="17"/>
  <c r="Q229" i="17"/>
  <c r="Q228" i="17"/>
  <c r="Q227" i="17"/>
  <c r="Q226" i="17"/>
  <c r="Q225" i="17"/>
  <c r="Q224" i="17"/>
  <c r="Q223" i="17"/>
  <c r="Q222" i="17"/>
  <c r="Q221" i="17"/>
  <c r="Q220" i="17"/>
  <c r="Q219" i="17"/>
  <c r="Q218" i="17"/>
  <c r="Q217" i="17"/>
  <c r="Q216" i="17"/>
  <c r="Q215" i="17"/>
  <c r="Q214" i="17"/>
  <c r="Q213" i="17"/>
  <c r="Q212" i="17"/>
  <c r="Q211" i="17"/>
  <c r="Q210" i="17"/>
  <c r="Q209" i="17"/>
  <c r="Q208" i="17"/>
  <c r="Q207" i="17"/>
  <c r="Q206" i="17"/>
  <c r="Q205" i="17"/>
  <c r="Q204" i="17"/>
  <c r="Q203" i="17"/>
  <c r="Q202" i="17"/>
  <c r="Q201" i="17"/>
  <c r="Q200" i="17"/>
  <c r="Q199" i="17"/>
  <c r="Q198" i="17"/>
  <c r="Q197" i="17"/>
  <c r="Q196" i="17"/>
  <c r="Q195" i="17"/>
  <c r="Q194" i="17"/>
  <c r="Q193" i="17"/>
  <c r="Q192" i="17"/>
  <c r="Q191" i="17"/>
  <c r="Q190" i="17"/>
  <c r="Q189" i="17"/>
  <c r="Q188" i="17"/>
  <c r="Q187" i="17"/>
  <c r="Q186" i="17"/>
  <c r="Q185" i="17"/>
  <c r="Q184" i="17"/>
  <c r="Q183" i="17"/>
  <c r="Q182" i="17"/>
  <c r="Q181" i="17"/>
  <c r="Q180" i="17"/>
  <c r="Q179" i="17"/>
  <c r="Q178" i="17"/>
  <c r="Q177" i="17"/>
  <c r="Q176" i="17"/>
  <c r="Q175" i="17"/>
  <c r="Q174" i="17"/>
  <c r="Q173" i="17"/>
  <c r="Q172" i="17"/>
  <c r="Q171" i="17"/>
  <c r="Q170" i="17"/>
  <c r="Q169" i="17"/>
  <c r="Q168" i="17"/>
  <c r="Q167" i="17"/>
  <c r="Q166" i="17"/>
  <c r="Q165" i="17"/>
  <c r="Q164" i="17"/>
  <c r="Q163" i="17"/>
  <c r="Q162" i="17"/>
  <c r="Q161" i="17"/>
  <c r="Q160" i="17"/>
  <c r="Q159" i="17"/>
  <c r="Q158" i="17"/>
  <c r="Q157" i="17"/>
  <c r="Q156" i="17"/>
  <c r="Q155" i="17"/>
  <c r="Q154" i="17"/>
  <c r="Q153" i="17"/>
  <c r="Q152" i="17"/>
  <c r="Q151" i="17"/>
  <c r="Q150" i="17"/>
  <c r="Q149" i="17"/>
  <c r="Q148" i="17"/>
  <c r="Q147" i="17"/>
  <c r="Q146" i="17"/>
  <c r="Q145" i="17"/>
  <c r="Q144" i="17"/>
  <c r="Q143" i="17"/>
  <c r="Q142" i="17"/>
  <c r="Q141" i="17"/>
  <c r="Q140" i="17"/>
  <c r="Q139" i="17"/>
  <c r="Q138" i="17"/>
  <c r="Q137" i="17"/>
  <c r="Q136" i="17"/>
  <c r="Q135" i="17"/>
  <c r="Q134" i="17"/>
  <c r="Q133" i="17"/>
  <c r="Q132" i="17"/>
  <c r="Q131" i="17"/>
  <c r="Q130" i="17"/>
  <c r="Q129" i="17"/>
  <c r="Q128" i="17"/>
  <c r="Q127" i="17"/>
  <c r="Q126" i="17"/>
  <c r="Q125" i="17"/>
  <c r="Q124" i="17"/>
  <c r="Q123" i="17"/>
  <c r="Q122" i="17"/>
  <c r="Q121" i="17"/>
  <c r="Q120" i="17"/>
  <c r="Q119" i="17"/>
  <c r="Q118" i="17"/>
  <c r="Q117" i="17"/>
  <c r="Q116" i="17"/>
  <c r="Q115" i="17"/>
  <c r="Q114" i="17"/>
  <c r="Q113" i="17"/>
  <c r="Q112" i="17"/>
  <c r="Q111" i="17"/>
  <c r="Q110" i="17"/>
  <c r="Q109" i="17"/>
  <c r="Q108" i="17"/>
  <c r="Q107" i="17"/>
  <c r="Q106" i="17"/>
  <c r="Q105" i="17"/>
  <c r="Q104" i="17"/>
  <c r="Q103" i="17"/>
  <c r="Q102" i="17"/>
  <c r="Q101" i="17"/>
  <c r="Q100" i="17"/>
  <c r="Q99" i="17"/>
  <c r="Q98" i="17"/>
  <c r="Q97" i="17"/>
  <c r="Q96" i="17"/>
  <c r="Q95" i="17"/>
  <c r="Q94" i="17"/>
  <c r="Q93" i="17"/>
  <c r="Q92" i="17"/>
  <c r="Q91" i="17"/>
  <c r="Q90" i="17"/>
  <c r="Q89" i="17"/>
  <c r="Q88" i="17"/>
  <c r="Q87" i="17"/>
  <c r="Q86" i="17"/>
  <c r="Q85" i="17"/>
  <c r="Q84" i="17"/>
  <c r="Q83" i="17"/>
  <c r="Q82" i="17"/>
  <c r="Q81" i="17"/>
  <c r="Q80" i="17"/>
  <c r="Q79" i="17"/>
  <c r="Q78" i="17"/>
  <c r="Q77" i="17"/>
  <c r="Q76" i="17"/>
  <c r="Q75" i="17"/>
  <c r="Q74" i="17"/>
  <c r="Q73" i="17"/>
  <c r="Q72" i="17"/>
  <c r="Q71" i="17"/>
  <c r="Q70" i="17"/>
  <c r="Q69" i="17"/>
  <c r="Q68" i="17"/>
  <c r="Q67" i="17"/>
  <c r="Q66" i="17"/>
  <c r="Q65" i="17"/>
  <c r="Q64" i="17"/>
  <c r="Q63" i="17"/>
  <c r="Q62" i="17"/>
  <c r="Q61" i="17"/>
  <c r="Q60" i="17"/>
  <c r="Q59" i="17"/>
  <c r="Q58" i="17"/>
  <c r="Q57" i="17"/>
  <c r="Q56" i="17"/>
  <c r="Q55" i="17"/>
  <c r="Q54" i="17"/>
  <c r="Q53" i="17"/>
  <c r="Q52" i="17"/>
  <c r="Q51" i="17"/>
  <c r="Q50" i="17"/>
  <c r="Q49" i="17"/>
  <c r="Q48" i="17"/>
  <c r="Q47" i="17"/>
  <c r="Q46" i="17"/>
  <c r="Q45" i="17"/>
  <c r="Q44" i="17"/>
  <c r="Q43" i="17"/>
  <c r="Q42" i="17"/>
  <c r="Q41" i="17"/>
  <c r="Q40" i="17"/>
  <c r="Q39" i="17"/>
  <c r="Q38" i="17"/>
  <c r="Q37" i="17"/>
  <c r="Q36" i="17"/>
  <c r="G11" i="20" s="1"/>
  <c r="Q35" i="17"/>
  <c r="AC35" i="17" s="1"/>
  <c r="U35" i="17" l="1"/>
  <c r="AB35" i="17"/>
  <c r="AC43" i="17"/>
  <c r="G12" i="20"/>
  <c r="G10" i="20"/>
  <c r="AC44" i="17"/>
  <c r="AC42" i="17"/>
  <c r="AC41" i="17"/>
  <c r="U40" i="17"/>
  <c r="AC40" i="17"/>
  <c r="T37" i="17"/>
  <c r="AC37" i="17"/>
  <c r="U39" i="17"/>
  <c r="AC39" i="17"/>
  <c r="T38" i="17"/>
  <c r="AC38" i="17"/>
  <c r="T42" i="17"/>
  <c r="U42" i="17"/>
  <c r="T41" i="17"/>
  <c r="U41" i="17"/>
  <c r="M36" i="17"/>
  <c r="AC36" i="17" s="1"/>
  <c r="AC237" i="17" s="1"/>
  <c r="T35" i="17"/>
  <c r="AB37" i="17"/>
  <c r="AB41" i="17"/>
  <c r="AB45" i="17"/>
  <c r="AC45" i="17"/>
  <c r="AB49" i="17"/>
  <c r="AC49" i="17"/>
  <c r="AB53" i="17"/>
  <c r="AC53" i="17"/>
  <c r="AB57" i="17"/>
  <c r="AC57" i="17"/>
  <c r="AB61" i="17"/>
  <c r="AC61" i="17"/>
  <c r="AB65" i="17"/>
  <c r="AC65" i="17"/>
  <c r="AB69" i="17"/>
  <c r="AC69" i="17"/>
  <c r="AB73" i="17"/>
  <c r="AC73" i="17"/>
  <c r="AB77" i="17"/>
  <c r="AC77" i="17"/>
  <c r="AB81" i="17"/>
  <c r="AC81" i="17"/>
  <c r="AB85" i="17"/>
  <c r="AC85" i="17"/>
  <c r="AB89" i="17"/>
  <c r="AC89" i="17"/>
  <c r="AB93" i="17"/>
  <c r="AC93" i="17"/>
  <c r="AB97" i="17"/>
  <c r="AC97" i="17"/>
  <c r="AB101" i="17"/>
  <c r="AC101" i="17"/>
  <c r="AB105" i="17"/>
  <c r="AC105" i="17"/>
  <c r="AB109" i="17"/>
  <c r="AC109" i="17"/>
  <c r="AB113" i="17"/>
  <c r="AC113" i="17"/>
  <c r="AB117" i="17"/>
  <c r="AC117" i="17"/>
  <c r="AB121" i="17"/>
  <c r="AC121" i="17"/>
  <c r="AB125" i="17"/>
  <c r="AC125" i="17"/>
  <c r="AB129" i="17"/>
  <c r="AC129" i="17"/>
  <c r="AB133" i="17"/>
  <c r="AC133" i="17"/>
  <c r="AB137" i="17"/>
  <c r="AC137" i="17"/>
  <c r="AB141" i="17"/>
  <c r="AC141" i="17"/>
  <c r="AB145" i="17"/>
  <c r="AC145" i="17"/>
  <c r="AB149" i="17"/>
  <c r="AC149" i="17"/>
  <c r="AB153" i="17"/>
  <c r="AC153" i="17"/>
  <c r="AB157" i="17"/>
  <c r="AC157" i="17"/>
  <c r="AB161" i="17"/>
  <c r="AC161" i="17"/>
  <c r="AB165" i="17"/>
  <c r="AC165" i="17"/>
  <c r="AB169" i="17"/>
  <c r="AC169" i="17"/>
  <c r="AB173" i="17"/>
  <c r="AC173" i="17"/>
  <c r="AB177" i="17"/>
  <c r="AC177" i="17"/>
  <c r="AB181" i="17"/>
  <c r="AC181" i="17"/>
  <c r="AB185" i="17"/>
  <c r="AC185" i="17"/>
  <c r="AB189" i="17"/>
  <c r="AC189" i="17"/>
  <c r="AB193" i="17"/>
  <c r="AC193" i="17"/>
  <c r="AB197" i="17"/>
  <c r="AC197" i="17"/>
  <c r="AB201" i="17"/>
  <c r="AC201" i="17"/>
  <c r="AB205" i="17"/>
  <c r="AC205" i="17"/>
  <c r="AB209" i="17"/>
  <c r="AC209" i="17"/>
  <c r="AB213" i="17"/>
  <c r="AC213" i="17"/>
  <c r="AB217" i="17"/>
  <c r="AC217" i="17"/>
  <c r="AB221" i="17"/>
  <c r="AC221" i="17"/>
  <c r="AB225" i="17"/>
  <c r="AC225" i="17"/>
  <c r="AB229" i="17"/>
  <c r="AC229" i="17"/>
  <c r="AB233" i="17"/>
  <c r="AC233" i="17"/>
  <c r="AB42" i="17"/>
  <c r="AB46" i="17"/>
  <c r="AC46" i="17"/>
  <c r="AB50" i="17"/>
  <c r="AC50" i="17"/>
  <c r="AB54" i="17"/>
  <c r="AC54" i="17"/>
  <c r="AB58" i="17"/>
  <c r="AC58" i="17"/>
  <c r="AB62" i="17"/>
  <c r="AC62" i="17"/>
  <c r="AB66" i="17"/>
  <c r="AC66" i="17"/>
  <c r="AB70" i="17"/>
  <c r="AC70" i="17"/>
  <c r="AB74" i="17"/>
  <c r="AC74" i="17"/>
  <c r="AB78" i="17"/>
  <c r="AC78" i="17"/>
  <c r="AB82" i="17"/>
  <c r="AC82" i="17"/>
  <c r="AB86" i="17"/>
  <c r="AC86" i="17"/>
  <c r="AB90" i="17"/>
  <c r="AC90" i="17"/>
  <c r="AB94" i="17"/>
  <c r="AC94" i="17"/>
  <c r="AB98" i="17"/>
  <c r="AC98" i="17"/>
  <c r="AB102" i="17"/>
  <c r="AC102" i="17"/>
  <c r="AB106" i="17"/>
  <c r="AC106" i="17"/>
  <c r="AB110" i="17"/>
  <c r="AC110" i="17"/>
  <c r="AB114" i="17"/>
  <c r="AC114" i="17"/>
  <c r="AB118" i="17"/>
  <c r="AC118" i="17"/>
  <c r="AB122" i="17"/>
  <c r="AC122" i="17"/>
  <c r="AB126" i="17"/>
  <c r="AC126" i="17"/>
  <c r="AB130" i="17"/>
  <c r="AC130" i="17"/>
  <c r="AB134" i="17"/>
  <c r="AC134" i="17"/>
  <c r="AB138" i="17"/>
  <c r="AC138" i="17"/>
  <c r="AB142" i="17"/>
  <c r="AC142" i="17"/>
  <c r="AB146" i="17"/>
  <c r="AC146" i="17"/>
  <c r="AB150" i="17"/>
  <c r="AC150" i="17"/>
  <c r="AB154" i="17"/>
  <c r="AC154" i="17"/>
  <c r="AB158" i="17"/>
  <c r="AC158" i="17"/>
  <c r="AB162" i="17"/>
  <c r="AC162" i="17"/>
  <c r="AB166" i="17"/>
  <c r="AC166" i="17"/>
  <c r="AB170" i="17"/>
  <c r="AC170" i="17"/>
  <c r="AB174" i="17"/>
  <c r="AC174" i="17"/>
  <c r="AB178" i="17"/>
  <c r="AC178" i="17"/>
  <c r="AB182" i="17"/>
  <c r="AC182" i="17"/>
  <c r="AB186" i="17"/>
  <c r="AC186" i="17"/>
  <c r="AB190" i="17"/>
  <c r="AC190" i="17"/>
  <c r="AB194" i="17"/>
  <c r="AC194" i="17"/>
  <c r="AB198" i="17"/>
  <c r="AC198" i="17"/>
  <c r="AB202" i="17"/>
  <c r="AC202" i="17"/>
  <c r="AB206" i="17"/>
  <c r="AC206" i="17"/>
  <c r="AB210" i="17"/>
  <c r="AC210" i="17"/>
  <c r="AB214" i="17"/>
  <c r="AC214" i="17"/>
  <c r="AB218" i="17"/>
  <c r="AC218" i="17"/>
  <c r="AB222" i="17"/>
  <c r="AC222" i="17"/>
  <c r="AB226" i="17"/>
  <c r="AC226" i="17"/>
  <c r="AB230" i="17"/>
  <c r="AC230" i="17"/>
  <c r="AB234" i="17"/>
  <c r="AC234" i="17"/>
  <c r="AB38" i="17"/>
  <c r="T39" i="17"/>
  <c r="AB39" i="17"/>
  <c r="AB43" i="17"/>
  <c r="AB47" i="17"/>
  <c r="AC47" i="17"/>
  <c r="AB51" i="17"/>
  <c r="AC51" i="17"/>
  <c r="AB55" i="17"/>
  <c r="AC55" i="17"/>
  <c r="AB59" i="17"/>
  <c r="AC59" i="17"/>
  <c r="AB63" i="17"/>
  <c r="AC63" i="17"/>
  <c r="AB67" i="17"/>
  <c r="AC67" i="17"/>
  <c r="AB71" i="17"/>
  <c r="AC71" i="17"/>
  <c r="AB75" i="17"/>
  <c r="AC75" i="17"/>
  <c r="AB79" i="17"/>
  <c r="AC79" i="17"/>
  <c r="AB83" i="17"/>
  <c r="AC83" i="17"/>
  <c r="AB87" i="17"/>
  <c r="AC87" i="17"/>
  <c r="AB91" i="17"/>
  <c r="AC91" i="17"/>
  <c r="AB95" i="17"/>
  <c r="AC95" i="17"/>
  <c r="AB99" i="17"/>
  <c r="AC99" i="17"/>
  <c r="AB103" i="17"/>
  <c r="AC103" i="17"/>
  <c r="AB107" i="17"/>
  <c r="AC107" i="17"/>
  <c r="AB111" i="17"/>
  <c r="AC111" i="17"/>
  <c r="AB115" i="17"/>
  <c r="AC115" i="17"/>
  <c r="AB119" i="17"/>
  <c r="AC119" i="17"/>
  <c r="AB123" i="17"/>
  <c r="AC123" i="17"/>
  <c r="AB127" i="17"/>
  <c r="AC127" i="17"/>
  <c r="AB131" i="17"/>
  <c r="AC131" i="17"/>
  <c r="AB135" i="17"/>
  <c r="AC135" i="17"/>
  <c r="AB139" i="17"/>
  <c r="AC139" i="17"/>
  <c r="AB143" i="17"/>
  <c r="AC143" i="17"/>
  <c r="AB147" i="17"/>
  <c r="AC147" i="17"/>
  <c r="AB151" i="17"/>
  <c r="AC151" i="17"/>
  <c r="AB155" i="17"/>
  <c r="AC155" i="17"/>
  <c r="AB159" i="17"/>
  <c r="AC159" i="17"/>
  <c r="AB163" i="17"/>
  <c r="AC163" i="17"/>
  <c r="AB167" i="17"/>
  <c r="AC167" i="17"/>
  <c r="AB171" i="17"/>
  <c r="AC171" i="17"/>
  <c r="AB175" i="17"/>
  <c r="AC175" i="17"/>
  <c r="AB179" i="17"/>
  <c r="AC179" i="17"/>
  <c r="AB183" i="17"/>
  <c r="AC183" i="17"/>
  <c r="AB187" i="17"/>
  <c r="AC187" i="17"/>
  <c r="AB191" i="17"/>
  <c r="AC191" i="17"/>
  <c r="AB195" i="17"/>
  <c r="AC195" i="17"/>
  <c r="AB199" i="17"/>
  <c r="AC199" i="17"/>
  <c r="AB203" i="17"/>
  <c r="AC203" i="17"/>
  <c r="AB207" i="17"/>
  <c r="AC207" i="17"/>
  <c r="AB211" i="17"/>
  <c r="AC211" i="17"/>
  <c r="AB215" i="17"/>
  <c r="AC215" i="17"/>
  <c r="AB219" i="17"/>
  <c r="AC219" i="17"/>
  <c r="AB223" i="17"/>
  <c r="AC223" i="17"/>
  <c r="AB227" i="17"/>
  <c r="AC227" i="17"/>
  <c r="AB231" i="17"/>
  <c r="AC231" i="17"/>
  <c r="AB44" i="17"/>
  <c r="AB48" i="17"/>
  <c r="AC48" i="17"/>
  <c r="AB52" i="17"/>
  <c r="AC52" i="17"/>
  <c r="AB56" i="17"/>
  <c r="AC56" i="17"/>
  <c r="AB60" i="17"/>
  <c r="AC60" i="17"/>
  <c r="AB64" i="17"/>
  <c r="AC64" i="17"/>
  <c r="AB68" i="17"/>
  <c r="AC68" i="17"/>
  <c r="AB72" i="17"/>
  <c r="AC72" i="17"/>
  <c r="AB76" i="17"/>
  <c r="AC76" i="17"/>
  <c r="AB80" i="17"/>
  <c r="AC80" i="17"/>
  <c r="AB84" i="17"/>
  <c r="AC84" i="17"/>
  <c r="AB88" i="17"/>
  <c r="AC88" i="17"/>
  <c r="AB92" i="17"/>
  <c r="AC92" i="17"/>
  <c r="AB96" i="17"/>
  <c r="AC96" i="17"/>
  <c r="AB100" i="17"/>
  <c r="AC100" i="17"/>
  <c r="AB104" i="17"/>
  <c r="AC104" i="17"/>
  <c r="AB108" i="17"/>
  <c r="AC108" i="17"/>
  <c r="AB112" i="17"/>
  <c r="AC112" i="17"/>
  <c r="AB116" i="17"/>
  <c r="AC116" i="17"/>
  <c r="AB120" i="17"/>
  <c r="AC120" i="17"/>
  <c r="AB124" i="17"/>
  <c r="AC124" i="17"/>
  <c r="AB128" i="17"/>
  <c r="AC128" i="17"/>
  <c r="AB132" i="17"/>
  <c r="AC132" i="17"/>
  <c r="AB136" i="17"/>
  <c r="AC136" i="17"/>
  <c r="AB140" i="17"/>
  <c r="AC140" i="17"/>
  <c r="AB144" i="17"/>
  <c r="AC144" i="17"/>
  <c r="AB148" i="17"/>
  <c r="AC148" i="17"/>
  <c r="AB152" i="17"/>
  <c r="AC152" i="17"/>
  <c r="AB156" i="17"/>
  <c r="AC156" i="17"/>
  <c r="AB160" i="17"/>
  <c r="AC160" i="17"/>
  <c r="AB164" i="17"/>
  <c r="AC164" i="17"/>
  <c r="AB168" i="17"/>
  <c r="AC168" i="17"/>
  <c r="AB172" i="17"/>
  <c r="AC172" i="17"/>
  <c r="AB176" i="17"/>
  <c r="AC176" i="17"/>
  <c r="AB180" i="17"/>
  <c r="AC180" i="17"/>
  <c r="AB184" i="17"/>
  <c r="AC184" i="17"/>
  <c r="AB188" i="17"/>
  <c r="AC188" i="17"/>
  <c r="AB192" i="17"/>
  <c r="AC192" i="17"/>
  <c r="AB196" i="17"/>
  <c r="AC196" i="17"/>
  <c r="AB200" i="17"/>
  <c r="AC200" i="17"/>
  <c r="AB204" i="17"/>
  <c r="AC204" i="17"/>
  <c r="AB208" i="17"/>
  <c r="AC208" i="17"/>
  <c r="AB212" i="17"/>
  <c r="AC212" i="17"/>
  <c r="AB216" i="17"/>
  <c r="AC216" i="17"/>
  <c r="AB220" i="17"/>
  <c r="AC220" i="17"/>
  <c r="AB224" i="17"/>
  <c r="AC224" i="17"/>
  <c r="AB228" i="17"/>
  <c r="AC228" i="17"/>
  <c r="AB232" i="17"/>
  <c r="AC232" i="17"/>
  <c r="AB40" i="17"/>
  <c r="T40" i="17"/>
  <c r="U37" i="17"/>
  <c r="U38" i="17"/>
  <c r="AR71" i="17"/>
  <c r="AR69" i="17"/>
  <c r="AR67" i="17"/>
  <c r="AR66" i="17"/>
  <c r="AR65" i="17"/>
  <c r="AR64" i="17"/>
  <c r="AR63" i="17"/>
  <c r="AR61" i="17"/>
  <c r="AR60" i="17"/>
  <c r="AR59" i="17"/>
  <c r="AR58" i="17"/>
  <c r="AR56" i="17"/>
  <c r="K38" i="17" s="1"/>
  <c r="K37" i="17" l="1"/>
  <c r="J236" i="17" s="1"/>
  <c r="C18" i="20"/>
  <c r="C19" i="20" s="1"/>
  <c r="C6" i="20"/>
  <c r="AC236" i="17"/>
  <c r="T36" i="17"/>
  <c r="AB36" i="17"/>
  <c r="C7" i="20" s="1"/>
  <c r="U36" i="17"/>
  <c r="C12" i="20"/>
  <c r="C11" i="20"/>
  <c r="AC235" i="17"/>
  <c r="J235" i="17"/>
  <c r="K76" i="2"/>
  <c r="F27" i="17" l="1"/>
  <c r="C26" i="20"/>
  <c r="M14" i="2"/>
  <c r="E14" i="2" s="1"/>
  <c r="C13" i="20"/>
  <c r="C14" i="20" s="1"/>
  <c r="G9" i="20" s="1"/>
  <c r="I8" i="2" s="1"/>
  <c r="C24" i="20"/>
  <c r="C25" i="20"/>
  <c r="C8" i="20"/>
  <c r="D23" i="19"/>
  <c r="D22" i="19"/>
  <c r="C15" i="20" l="1"/>
  <c r="C22" i="20" s="1"/>
  <c r="B15" i="20"/>
  <c r="D24" i="19"/>
  <c r="D25" i="19" s="1"/>
  <c r="D26" i="19" s="1"/>
  <c r="M76" i="2" s="1"/>
  <c r="M8" i="2" l="1"/>
  <c r="E8" i="2" s="1"/>
  <c r="K64" i="2"/>
  <c r="K40" i="2"/>
  <c r="K41" i="2"/>
  <c r="K42" i="2"/>
  <c r="K43" i="2"/>
  <c r="K39" i="2"/>
  <c r="H40" i="2"/>
  <c r="H41" i="2"/>
  <c r="H42" i="2"/>
  <c r="H43" i="2"/>
  <c r="H39" i="2"/>
  <c r="G40" i="2"/>
  <c r="G41" i="2"/>
  <c r="G42" i="2"/>
  <c r="G43" i="2"/>
  <c r="G39" i="2"/>
  <c r="E37" i="2"/>
  <c r="M40" i="2" l="1"/>
  <c r="M39" i="2"/>
  <c r="M41" i="2"/>
  <c r="M43" i="2"/>
  <c r="M42" i="2"/>
  <c r="D44" i="7"/>
  <c r="H64" i="2" l="1"/>
  <c r="G64" i="2"/>
  <c r="M64" i="2" s="1"/>
  <c r="H59" i="2"/>
  <c r="G59" i="2"/>
  <c r="E62" i="2"/>
  <c r="E57" i="2"/>
  <c r="M67" i="11" l="1"/>
  <c r="M59" i="2"/>
  <c r="D43" i="7"/>
  <c r="C27" i="17"/>
  <c r="G27" i="17" s="1"/>
  <c r="E27" i="17" l="1"/>
  <c r="E45" i="11"/>
  <c r="B9" i="4" l="1"/>
  <c r="B20" i="5" l="1"/>
  <c r="B60" i="3"/>
  <c r="B9" i="5"/>
  <c r="I52" i="3"/>
  <c r="B50" i="3"/>
  <c r="B49" i="3"/>
  <c r="B36" i="3"/>
  <c r="B23" i="3"/>
  <c r="B9" i="3"/>
  <c r="K35" i="2"/>
  <c r="H35" i="2"/>
  <c r="G35" i="2"/>
  <c r="E33" i="2"/>
  <c r="K30" i="2"/>
  <c r="H30" i="2"/>
  <c r="G30" i="2"/>
  <c r="E28" i="2"/>
  <c r="K25" i="2"/>
  <c r="H25" i="2"/>
  <c r="G25" i="2"/>
  <c r="E23" i="2"/>
  <c r="K20" i="2"/>
  <c r="H20" i="2"/>
  <c r="M20" i="2" s="1"/>
  <c r="G20" i="2"/>
  <c r="K19" i="2"/>
  <c r="H19" i="2"/>
  <c r="M19" i="2" s="1"/>
  <c r="G19" i="2"/>
  <c r="E17" i="2"/>
  <c r="M35" i="2" l="1"/>
  <c r="E35" i="2" s="1"/>
  <c r="J52" i="3"/>
  <c r="K52" i="3"/>
  <c r="M25" i="2"/>
  <c r="E25" i="2" s="1"/>
  <c r="I23" i="4"/>
  <c r="I24" i="4"/>
  <c r="I25" i="4"/>
  <c r="I26" i="4"/>
  <c r="I27" i="4"/>
  <c r="I28" i="4"/>
  <c r="I29" i="4"/>
  <c r="I22" i="4"/>
  <c r="G23" i="4"/>
  <c r="G24" i="4"/>
  <c r="G25" i="4"/>
  <c r="G26" i="4"/>
  <c r="G27" i="4"/>
  <c r="G28" i="4"/>
  <c r="G29" i="4"/>
  <c r="G22" i="4"/>
  <c r="B19" i="4"/>
  <c r="B12" i="4"/>
  <c r="K54" i="2"/>
  <c r="H54" i="2"/>
  <c r="G54" i="2"/>
  <c r="E52" i="2"/>
  <c r="J29" i="4" l="1"/>
  <c r="K29" i="4"/>
  <c r="J25" i="4"/>
  <c r="K25" i="4"/>
  <c r="J28" i="4"/>
  <c r="K28" i="4"/>
  <c r="K24" i="4"/>
  <c r="J24" i="4"/>
  <c r="J26" i="4"/>
  <c r="K26" i="4"/>
  <c r="J27" i="4"/>
  <c r="K27" i="4"/>
  <c r="J23" i="4"/>
  <c r="K23" i="4"/>
  <c r="J22" i="4"/>
  <c r="K22" i="4"/>
  <c r="M54" i="2" s="1"/>
  <c r="E54" i="2" s="1"/>
  <c r="E74" i="2"/>
  <c r="E76" i="2"/>
  <c r="E40" i="2"/>
  <c r="E43" i="2"/>
  <c r="E42" i="2"/>
  <c r="E41" i="2"/>
  <c r="E39" i="2"/>
  <c r="E59" i="2"/>
  <c r="M30" i="2"/>
  <c r="E19" i="2"/>
  <c r="E20" i="2"/>
  <c r="E30" i="2" l="1"/>
  <c r="K49" i="2"/>
  <c r="K48" i="2"/>
  <c r="H49" i="2" l="1"/>
  <c r="G49" i="2"/>
  <c r="M49" i="2" s="1"/>
  <c r="H48" i="2"/>
  <c r="G48" i="2"/>
  <c r="M48" i="2" s="1"/>
  <c r="E46" i="2"/>
  <c r="E75" i="2" l="1"/>
  <c r="E64" i="2"/>
  <c r="G15" i="4"/>
  <c r="G16" i="4"/>
  <c r="E48" i="2" l="1"/>
  <c r="E49" i="2"/>
  <c r="M4" i="2" l="1"/>
</calcChain>
</file>

<file path=xl/sharedStrings.xml><?xml version="1.0" encoding="utf-8"?>
<sst xmlns="http://schemas.openxmlformats.org/spreadsheetml/2006/main" count="1629" uniqueCount="1121">
  <si>
    <t>BPC25</t>
  </si>
  <si>
    <t>BPC6</t>
  </si>
  <si>
    <t>BPC8</t>
  </si>
  <si>
    <t>BPC12</t>
  </si>
  <si>
    <t>BPC26</t>
  </si>
  <si>
    <t>BPC27</t>
  </si>
  <si>
    <t>BPH20</t>
  </si>
  <si>
    <t>BPH24</t>
  </si>
  <si>
    <t>BPH10</t>
  </si>
  <si>
    <t>BPH4</t>
  </si>
  <si>
    <t>BPWH7</t>
  </si>
  <si>
    <t>BPWH5</t>
  </si>
  <si>
    <t>BPWH2</t>
  </si>
  <si>
    <t>BPCK1</t>
  </si>
  <si>
    <t>BPCK2</t>
  </si>
  <si>
    <t>BPCK3</t>
  </si>
  <si>
    <t>BPCK4</t>
  </si>
  <si>
    <t>BPCK9</t>
  </si>
  <si>
    <t>BPCK10</t>
  </si>
  <si>
    <t>BPCK13</t>
  </si>
  <si>
    <t>Kitchen Demand Ventilation Controls</t>
  </si>
  <si>
    <t>BPCK21</t>
  </si>
  <si>
    <t>Commercial Pool Equipment</t>
  </si>
  <si>
    <t>Commercial Clothes Dryer Moisture Sensor</t>
  </si>
  <si>
    <t>BPM12</t>
  </si>
  <si>
    <t>BPCK5</t>
  </si>
  <si>
    <t>BPCK6</t>
  </si>
  <si>
    <t>BPCK7</t>
  </si>
  <si>
    <t>BPCK8</t>
  </si>
  <si>
    <t>BPCK23</t>
  </si>
  <si>
    <t>BPCK25</t>
  </si>
  <si>
    <t>BPCK11</t>
  </si>
  <si>
    <t>BPCK12</t>
  </si>
  <si>
    <t>BPCK19</t>
  </si>
  <si>
    <t>BPCK28</t>
  </si>
  <si>
    <t>BPCK20</t>
  </si>
  <si>
    <t>BPM4</t>
  </si>
  <si>
    <t>BPM5</t>
  </si>
  <si>
    <t>BPM11</t>
  </si>
  <si>
    <t>Customer Name on Ameren Illinois Account</t>
  </si>
  <si>
    <t>Payment Remit To Mailing Address</t>
  </si>
  <si>
    <t>City</t>
  </si>
  <si>
    <t>State</t>
  </si>
  <si>
    <t>Zip</t>
  </si>
  <si>
    <t>Participant Contact Name</t>
  </si>
  <si>
    <t>Title</t>
  </si>
  <si>
    <t>Participant E-mail Address</t>
  </si>
  <si>
    <t>Ext.</t>
  </si>
  <si>
    <t>Secondary Participant Contact Name (if applicable)</t>
  </si>
  <si>
    <t>E-mail Address</t>
  </si>
  <si>
    <t>Physical Installation Address (if different than above)</t>
  </si>
  <si>
    <t>IL</t>
  </si>
  <si>
    <t>Name(s) of the person(s) who referred you to the Ameren Illinois Energy Efficiency Program for this project:</t>
  </si>
  <si>
    <t>Name of Ameren Illinois or Energy Efficiency Employee</t>
  </si>
  <si>
    <t>Name of Referring Contractor or Program Ally</t>
  </si>
  <si>
    <t>Project Installation Information</t>
  </si>
  <si>
    <t>Self-installed by an employee of the Ameren Illinois customer listed on this application</t>
  </si>
  <si>
    <t>Company Name</t>
  </si>
  <si>
    <t>Contact Name</t>
  </si>
  <si>
    <t>Mailing Address</t>
  </si>
  <si>
    <t>Ext</t>
  </si>
  <si>
    <t>Facility/Project Description</t>
  </si>
  <si>
    <t>Measure Code</t>
  </si>
  <si>
    <t>Number of Units Installed</t>
  </si>
  <si>
    <t>Incentive</t>
  </si>
  <si>
    <t>Incentive Requested</t>
  </si>
  <si>
    <t>Unitary and Split Air Conditioning Systems and Air Source Heat Pumps</t>
  </si>
  <si>
    <t>/</t>
  </si>
  <si>
    <t>Measure Description</t>
  </si>
  <si>
    <t>Air-cooled Chillers</t>
  </si>
  <si>
    <t>max IPLV [kW/ton]</t>
  </si>
  <si>
    <t>min EER</t>
  </si>
  <si>
    <t>min SEER</t>
  </si>
  <si>
    <t>min IEER</t>
  </si>
  <si>
    <t>per Unit</t>
  </si>
  <si>
    <t>PTAC/PTHP Units</t>
  </si>
  <si>
    <t>unit installed</t>
  </si>
  <si>
    <t>Unit Size in Tons</t>
  </si>
  <si>
    <t>Unit Cooling Capcity [kBtuh]</t>
  </si>
  <si>
    <t>min tons</t>
  </si>
  <si>
    <t>max tons</t>
  </si>
  <si>
    <t>max kBtuh</t>
  </si>
  <si>
    <t>min kBtuh</t>
  </si>
  <si>
    <t>Unit EER 
Rating</t>
  </si>
  <si>
    <t>Unit SEER 
Rating</t>
  </si>
  <si>
    <t>Unit EER
Rating</t>
  </si>
  <si>
    <t>Unit IPLV EER
Rating</t>
  </si>
  <si>
    <t>Unit IPLV in kW/ton</t>
  </si>
  <si>
    <t>Number of Units Installed (max 1 per measure)</t>
  </si>
  <si>
    <t>BPH7</t>
  </si>
  <si>
    <t>High Efficiency Gas Furnaces</t>
  </si>
  <si>
    <t>min kBtuh input</t>
  </si>
  <si>
    <t>max kBtuh 
input</t>
  </si>
  <si>
    <t>min AFUE</t>
  </si>
  <si>
    <t>Actual AFUE</t>
  </si>
  <si>
    <t>Furnace Blower Fan used for A/C?</t>
  </si>
  <si>
    <t>Manufacturer and Model</t>
  </si>
  <si>
    <t xml:space="preserve"> </t>
  </si>
  <si>
    <t>Gas Air Heaters</t>
  </si>
  <si>
    <t>24 hr/7 days</t>
  </si>
  <si>
    <t>19 hr/7 days</t>
  </si>
  <si>
    <t>14 hr/7 days</t>
  </si>
  <si>
    <t>14 hr/5 days</t>
  </si>
  <si>
    <t>kBtuh</t>
  </si>
  <si>
    <t>If PTHP: Heating Capcity [kBtuh]</t>
  </si>
  <si>
    <t>Additional Criteria</t>
  </si>
  <si>
    <t>Unit Size in kBtuh</t>
  </si>
  <si>
    <t>Unit Volume in cfm</t>
  </si>
  <si>
    <t>Size Range</t>
  </si>
  <si>
    <t>HTHV Direct Fired Heaters</t>
  </si>
  <si>
    <t>Unit Capacity in kBtuh</t>
  </si>
  <si>
    <t>Unit kBtuh (MBH) Input</t>
  </si>
  <si>
    <t>Infrared Heaters</t>
  </si>
  <si>
    <t>min efficiency</t>
  </si>
  <si>
    <t>min discharge temperature [F]</t>
  </si>
  <si>
    <t>min temperature rise [F]</t>
  </si>
  <si>
    <t>min gas thermal efficiency</t>
  </si>
  <si>
    <t>HVAC   -   Heating</t>
  </si>
  <si>
    <t>Click Here for a Blank W-9 Form</t>
  </si>
  <si>
    <t>Electric:</t>
  </si>
  <si>
    <t>Gas:</t>
  </si>
  <si>
    <t>NOTE: A signed W-9 form must be submitted with this application</t>
  </si>
  <si>
    <r>
      <rPr>
        <i/>
        <sz val="10"/>
        <rFont val="Calibri"/>
        <family val="2"/>
      </rPr>
      <t>Phone  (XXX) XXX-XXXX</t>
    </r>
  </si>
  <si>
    <r>
      <rPr>
        <i/>
        <sz val="10"/>
        <rFont val="Calibri"/>
        <family val="2"/>
      </rPr>
      <t>Fax  (XXX) XXX-XXXX</t>
    </r>
  </si>
  <si>
    <t>Ameren Illinois Account Numbers  (or 'Pending')</t>
  </si>
  <si>
    <t>Red indicates a required field</t>
  </si>
  <si>
    <t>Ameren Illinois Customer Information</t>
  </si>
  <si>
    <t>Installer Information (choose one)</t>
  </si>
  <si>
    <t>Installed by Illinois Commerce Commission-registered Certified Installer (Enter name, as registered with ICC, on the right):</t>
  </si>
  <si>
    <t>Contractor/Program Ally Information</t>
  </si>
  <si>
    <t>Office</t>
  </si>
  <si>
    <t>Restaurant</t>
  </si>
  <si>
    <t>Grocery</t>
  </si>
  <si>
    <t>College/University</t>
  </si>
  <si>
    <t>Hotel/Motel Guest Rooms</t>
  </si>
  <si>
    <t>Healthcare Clinic</t>
  </si>
  <si>
    <t>Hospital</t>
  </si>
  <si>
    <t>High School/Middle School</t>
  </si>
  <si>
    <t>Elementary School</t>
  </si>
  <si>
    <t>Warehouse</t>
  </si>
  <si>
    <t>Multiple</t>
  </si>
  <si>
    <t>Facility Type (choose one):</t>
  </si>
  <si>
    <t>Indicate if this is a new or existing building (choose one):</t>
  </si>
  <si>
    <t>New building</t>
  </si>
  <si>
    <t>Existing building</t>
  </si>
  <si>
    <t>Schematic Design</t>
  </si>
  <si>
    <t>Design Documents</t>
  </si>
  <si>
    <t>Construction Documents</t>
  </si>
  <si>
    <t>Click here, then use the arrow on the right to choose.</t>
  </si>
  <si>
    <t>Click here, then use arrow on the right to choose.</t>
  </si>
  <si>
    <t>Estimated Total Project Cost</t>
  </si>
  <si>
    <t>Terms and Conditions</t>
  </si>
  <si>
    <t>1. DEFINITIONS: Capitalized terms used but not defined elsewhere herein shall have the following meanings:</t>
  </si>
  <si>
    <t>a) “Ameren Illinois” shall mean Ameren Illinois Company d/b/a Ameren Illinois.</t>
  </si>
  <si>
    <t>b) “Application” shall mean the Customer completed program application used to apply for the specific Ameren Illinois incentive, these Terms and Conditions, and any other supplemental documentation.</t>
  </si>
  <si>
    <t>c) "Retro-commissioning" shall mean those projects that are found on the Large Facility, Industrial, Retro-commissioning Lite, or Compressed Air applications</t>
  </si>
  <si>
    <t>d) “Customer” shall mean an Eligible Customer who has submitted an Application.</t>
  </si>
  <si>
    <t>e) “Custom Initiative” shall mean those projects that are not Standard, Retro-commissioning, or Streetlighting Initiatives. Projects that are found on New Construction Lighting, Metering &amp; Monitoring, and Feasibility Study are also part of the Custom Initiative.</t>
  </si>
  <si>
    <t>f) “EEM” shall mean energy efficiency measures.</t>
  </si>
  <si>
    <t>g) “Eligible Customer” shall mean a non-residential electric and/or gas customer of Ameren Illinois that own and install a Qualifying EEM at the Facility corresponding to the Ameren Illinois account number. Each program application has different eligibility requirements for Delivery Service rates (DS# for electric, GDS# for gas) to be eligible for that program. Refer to the specific program application to determine if your business is eligible for that application.</t>
  </si>
  <si>
    <t>h) “Facility” shall mean a single premise that, in general, consists of a contiguous tract of land separated by nothing more than a street, alley, or railroad right-of-way, where all buildings and/or energy-consuming devices are owned by a single Customer.</t>
  </si>
  <si>
    <t>i) “New Construction” shall include construction of new buildings, change-of-use of existing buildings or land, additions to existing buildings, or when two or more building systems are renovated, such as shell and heating, heating and lighting, etc.</t>
  </si>
  <si>
    <t>j) “Pre-approval” shall mean written notification via a pre-approval letter to Customer that Ameren Illinois has reviewed Customer's Application and determined that the project meets the program eligibility requirements for a maximum pre-approved incentive amount if the project is completed by the estimated completion date and all final application paperwork is submitted and approved.</t>
  </si>
  <si>
    <t>k) “Program Bonus” shall mean any seasonal, temporary, or promotional additional incentive paid by Ameren Illinois to Customer.</t>
  </si>
  <si>
    <t>l) “Qualifying Energy Efficiency Measures (EEMs)” shall mean either (i) standard gas or electric EEMs (i.e., measures found on any of the Standard Initiative applications); or (ii) measures eligible under the Custom Initiative approved by Ameren Illinois; or (iii) measures found in the Streetlighting or Retro-commissioning Initiative as identified in official program materials found on the Ameren Illinois Energy Efficiency website. The following technologies are not Qualifying EEMs: (i) technologies that do not demonstrate measurable and verifiable energy savings, including power conditioning; (ii) technologies that displace electrical energy use or natural gas to another fuel (i.e. fuel switching); or (iii) renewable energy projects (solar, wind power, etc.). Eligible gas measures do not include propane or butane measures.</t>
  </si>
  <si>
    <t>m) “Standard Initiative” shall mean those projects associated with standard gas or electric EEMs. Standard Initiative includes the following: Lighting (not New Construction Lighting), VFD, HVAC, Specialty Equipment, Equipment Installation, Smart Thermostat, Steam Trap and/or Leak Survey and Repair. See the Ameren Illinois Energy Efficiency website for individual program applications (AmerenIllinoisSavings.com).</t>
  </si>
  <si>
    <t>n) "Streetlighting Initiative" shall mean those projects that are found on the Ameren Illinois owned and Municipal-owned streetlighting applications</t>
  </si>
  <si>
    <t>2. PRE-APPROVAL, INSPECTIONS AND FINAL APPROVAL:</t>
  </si>
  <si>
    <t>a) For all projects, Ameren Illinois is not obligated to award any incentive payment unless an Application is submitted and Pre-approval is granted. Ameren Illinois will not pay incentives for any EEMs ordered or any purchase order generated prior to the date of the Pre-approval letter, unless the requested incentive is less than $10,000 on any Standard Initiative Application. Pre-approval reserves incentive funds for a period up to the estimated completion date provided in the Pre-approval letter. After the estimated completion date, Ameren Illinois may revoke the Pre-approval letter and reserved incentive funds. Customer is responsible for ensuring that the project is completed by the estimated completion date, the Application is complete and accurate, and the project meets program eligibility requirements in order to receive final approval and the incentive payment.</t>
  </si>
  <si>
    <t>b) A pre-approval inspection and post-installation inspection of the project may be required before an incentive payment is made.</t>
  </si>
  <si>
    <t>c) Ameren Illinois reserves the right to request additional supporting documentation as deemed necessary to ensure program eligibility and verify that the expected energy savings will occur.</t>
  </si>
  <si>
    <t>3. INCENTIVE PAYMENT AMOUNTS:</t>
  </si>
  <si>
    <t>a) Incentive caps are defined as follows:</t>
  </si>
  <si>
    <t>b) Ameren Illinois reserves the right to adjust the incentive amount, based upon its independent assessment of appropriate savings or cost estimates.</t>
  </si>
  <si>
    <t>c) Ameren Illinois will pay no more than the incentive amount in the Pre-approval letter.</t>
  </si>
  <si>
    <t>d) Ameren Illinois reserves the right to cap incentives at $10,000 for Standard Initiatives that did not obtain Pre-approval.</t>
  </si>
  <si>
    <t>e) The sum of all Incentives and any applicable Program Bonuses for Standard Initiative, Custom Initiative, or Streetlighting Initiative will be capped at the project cost, which includes material cost and external labor cost. Internal labor cost is not considered in the project cost. Steam Trap Surveys are eligible for incentives when internal labor is used according to the Steam Trap Application.</t>
  </si>
  <si>
    <t>4. MONITORING AND EVALUATION: Customer grants Ameren Illinois and any of its agents, the right to make follow-up visits, inspections, metering, data collection and/or surveys of the Customer’s Facility during the 36 months following the completion date of the project to verify the installation and performance of the EEMs that were funded by incentives upon reasonable notice to Customer. If Customer removes the EEMs at any time or Customer ceases to be a delivery service customer of Ameren Illinois within 36 months after installation, Ameren Illinois shall be entitled to recover from Customer the total amount of incentive payments made plus interest.</t>
  </si>
  <si>
    <t>5. CUSTOMER DATA: By submitting an Application, Customer understands and authorizes Ameren Illinois and its third party providers and agents to retain Customer's Application, and use, store and share the information contained in the Application, together with such data and documentation collected in connection with the project, for the program and its internal business purposes. Customer agrees that Ameren Illinois may share such information with the Illinois Commerce Commission, or its contractors, who plan to evaluate my energy usage. Ameren Illinois may release aggregated, non-identifiable data to third parties for regulatory and non-regulatory purposes.</t>
  </si>
  <si>
    <t>6. CUSTOMER SHALL PAY ALL TAXES: Incentive payments received by Customer or any third party payee designated by Customer on a Payment Release Authorization Form may be taxable by the federal, state, and local government. Customer is responsible for declaring and paying all such taxes, regardless of who receives the incentive.</t>
  </si>
  <si>
    <t>7. REMOVAL OF EXISTING EQUIPMENT: Customer agrees, as a condition of participation in the program, to remove and dispose of any equipment being replaced by the EEMs in accordance with all applicable laws, rules, and regulations. Customer further agrees not to reinstall any replaced equipment or transfer it to any other party for installation in Illinois.</t>
  </si>
  <si>
    <t>8. OWNERSHIP:</t>
  </si>
  <si>
    <t>a) EEMs purchased and installed with incentives provided by this program, and all energy savings realized from the installation of such EEMs, are the property of Customer.</t>
  </si>
  <si>
    <t>b) In consideration of the incentives provided by this program, Customer agrees that Ameren Illinois is entitled to all rights to any system capacity and environmental credits and attributes that may be associated with EEMs for which incentives from Ameren Illinois were received, and Customer waives, and agrees not to seek, any right to the same.</t>
  </si>
  <si>
    <t>9. CHANGES OR CANCELLATION OF THE PROGRAM:</t>
  </si>
  <si>
    <t>a) Ameren Illinois, in its sole discretion, may change any of the terms and conditions of the program, suspend acceptance of Applications, deny Applications already received and not yet pre-approved or terminate the program at any time without prior notice.</t>
  </si>
  <si>
    <t>b) In the event of program change or cancellation, Applications that have been pre-approved will be processed to completion under the program requirements and Terms and Conditions in effect at the time of Pre-approval by Ameren Illinois.</t>
  </si>
  <si>
    <t>c) Incentives under the program are offered on a first-come, first-served basis and are subject to project eligibility and the availability of funds.</t>
  </si>
  <si>
    <t>10. LIMITATION OF LIABILITY AND INDEMNIFICATION:</t>
  </si>
  <si>
    <t>a) AMEREN ILLINOIS’ TOTAL LIABILITY TO CUSTOMER UNDER THESE TERMS AND CONDITIONS, OR ANY OTHER REQUIREMENT OF CUSTOMER’S APPLICATION OR CONDITION OF INCENTIVE AWARD SHALL BE LIMITED TO PAYMENT OF THE AMOUNT OF THE INCENTIVE PAYMENTS DUE TO CUSTOMER IN THE APPLICATION OR PRE-APPROVAL LETTER ACCORDING TO THE PROGRAM. AMEREN ILLINOIS, ITS PARENT, AFFILIATES AND SUBSIDIARIES, AND THEIR DIRECTORS, OFFICERS, EMPLOYEES, CONTRACTORS OR AGENTS SHALL NOT BE LIABLE TO THE CUSTOMER FOR THE CUSTOMER'S FAILURE TO ACHIEVE ANY RESULTS IN ENERGY SAVINGS; THE OPERATION OF THE CUSTOMER'S FACILITY; LOSS OF PROFITS OR REVENUE; LOSS OF USE OF CUSTOMER'S PROPERTY, EQUIPMENT OR POWER SYSTEM; INCREASED COSTS OF ANY KIND, INCLUDING BUT NOT LIMITED TO CAPITAL COST, FUEL COST AND COST OF PURCHASED OR REPLACEMENT POWER; OR ANY SPECIAL, INDIRECT, CONSEQUENTIAL OR INCIDENTAL DAMAGES WHATSOEVER IN CONNECTION WITH CUSTOMER'S APPLICATION, CUSTOMER'S PARTICATION IN THE PROGRAM, ANY EEMS INSTALLED AT CUSTOMER'S FACILITY OR ANY ACTIVITIES ASSOCIATED WITH THE PROJECT. BY PARTICIPATING IN THE AMEREN ILLINOIS PROGRAM, CUSTOMER AGREES TO WAIVE ANY CLAIMS, EXCEPT AS PROVIDED IN THIS SECTION, AND FULLY RELEASES AMEREN ILLINOIS FROM ANY DAMAGES, OF ANY KIND ARISING OUT OF OR RELATED TO CUSTOMER’S APPLICATION AND ANY EEMS INSTALLED AT CUSTOMER'S FACILITY.</t>
  </si>
  <si>
    <t>b) Customer shall defend, indemnify, and hold harmless Ameren Illinois, its parent, affiliate and subsidiaries, and their representative directors, officers, employees, contractors and agents from and against all liabilities, losses, claims, damages, judgments, penalties, costs and expenses (including, without limitation, attorney’s fees and expenses) from and against third party claims for injuries, including death, to any person, or for property damage, or for payment for goods or services arising out of or relating to Customer’s Application or any EEMs installed at Customer's Facility.</t>
  </si>
  <si>
    <t>11. NO WARRANTIES: Ameren Illinois and its parent, affiliates, employees, contractors and agents do not guarantee the energy savings, and do not make any representations or warranties of any kind, regarding the results to be achieved by the EEMs or the adequacy or safety of such measures. Ameren Illinois and its parent, affiliates, employees, contractors and agents do not endorse, guarantee, or warrant any particular manufacturer, contractor or product, and do not endorse or guarantee any claims, promises, work, or equipment made performed or furnished by any contractors or vendors that sell or install EEMs.</t>
  </si>
  <si>
    <t>12. CHOICE OF LAW AND DISPUTES.</t>
  </si>
  <si>
    <t>a) THESE TERMS AND CONDITIONS, OR ANY OTHER REQUIREMENT OF THE APPLICATION OR CONDITION OF INCENTIVE AWARD WILL BE GOVERNED IN ALL RESPECTS BY THE LAWS, STATUTES, AND REGULATIONS OF THE STATE OF ILLINOIS. AMEREN ILLINOIS AND CUSTOMER HEREBY IRREVOCABLY AND UNCONDITIONALLY WAIVE ANY RIGHT EITHER SUCH PARTY MAY HAVE TO A TRIAL BY JURY OR TO INITIATE OR BECOME A PARTY TO ANY CLASS ACTION CLAIMS IN RESPECT OF ANY ACTION, SUIT OR PROCEEDING DIRECTLY OR INDIRECTLY ARISING OUT OF OR RELATING TO THIS PROGRAM.</t>
  </si>
  <si>
    <t>b) Customer agrees that any dispute arising out of or related the workmanship or performance of an EEM or the adequacy or safety or such measure shall be resolved solely between the Customer and the EEM contractor or equipment provider. (Rev17)</t>
  </si>
  <si>
    <t>Gas Boilers</t>
  </si>
  <si>
    <t>Air-Source Heat Pumps and PTHP Units, see the 'HVAC - Cooling' tab</t>
  </si>
  <si>
    <t>Total Estimated Incentive:</t>
  </si>
  <si>
    <t>ICC Certified Installer (if applicable)</t>
  </si>
  <si>
    <t>Assembly</t>
  </si>
  <si>
    <t>Assisted Living</t>
  </si>
  <si>
    <t>College</t>
  </si>
  <si>
    <t>Convenience Store</t>
  </si>
  <si>
    <t>Healthcare clinic</t>
  </si>
  <si>
    <t>High School</t>
  </si>
  <si>
    <t>Hotel/Motel</t>
  </si>
  <si>
    <t>Manufacturing Facility</t>
  </si>
  <si>
    <t>Multifamily Common Areas</t>
  </si>
  <si>
    <t>Municipality</t>
  </si>
  <si>
    <t>Movie Theater</t>
  </si>
  <si>
    <t>Office – High Rise (10+ floors)</t>
  </si>
  <si>
    <t>Office – Low Rise (&lt;5 floors)</t>
  </si>
  <si>
    <t>Office – Mid Rise (5-9 floors)</t>
  </si>
  <si>
    <t>Religious Building</t>
  </si>
  <si>
    <t>Retail Dept. Store (&gt;30,000 ft2)</t>
  </si>
  <si>
    <t>Retail Strip Mall (&lt;30,000 ft2)</t>
  </si>
  <si>
    <t>Unknown/Misc</t>
  </si>
  <si>
    <t>INSTALLATION TYPE</t>
  </si>
  <si>
    <t>Total Interior Square Footage Served by Ameren Illinois Account</t>
  </si>
  <si>
    <t>CAV (no economizer)</t>
  </si>
  <si>
    <t>CAV (with economizer)</t>
  </si>
  <si>
    <t>VAV</t>
  </si>
  <si>
    <t>FCU</t>
  </si>
  <si>
    <t>For hospitals and high rise offices, specify HVAC system type:</t>
  </si>
  <si>
    <t>NEW-EXISTING BUILDING</t>
  </si>
  <si>
    <t>DESIGN PHASE</t>
  </si>
  <si>
    <t>HVAC SYSTEM TYPE</t>
  </si>
  <si>
    <t>FACILITY TYPES</t>
  </si>
  <si>
    <t>Current phase in the design process (choose one):</t>
  </si>
  <si>
    <t>Annual Facility Hours of Operation (required for Lighting projects)</t>
  </si>
  <si>
    <t>Fixture 1</t>
  </si>
  <si>
    <t>Manufacturer</t>
  </si>
  <si>
    <t>Part No.</t>
  </si>
  <si>
    <t>Watts/fixture</t>
  </si>
  <si>
    <t>Fixture 2</t>
  </si>
  <si>
    <t>Fixture 3</t>
  </si>
  <si>
    <t>Fixture 4</t>
  </si>
  <si>
    <t>Fixture 5</t>
  </si>
  <si>
    <t>Fixture 6</t>
  </si>
  <si>
    <t>Fixture 7</t>
  </si>
  <si>
    <t>Fixture 8</t>
  </si>
  <si>
    <t>Fixture 9</t>
  </si>
  <si>
    <t>Fixture 10</t>
  </si>
  <si>
    <t>Fixture 11</t>
  </si>
  <si>
    <t>Fixture 12</t>
  </si>
  <si>
    <t>Fixture 13</t>
  </si>
  <si>
    <t>Fixture 14</t>
  </si>
  <si>
    <t>Fixture 15</t>
  </si>
  <si>
    <t>Fixture 16</t>
  </si>
  <si>
    <t>Fixture 17</t>
  </si>
  <si>
    <t>Fixture 18</t>
  </si>
  <si>
    <t>Fixture 19</t>
  </si>
  <si>
    <t>Fixture 20</t>
  </si>
  <si>
    <t>Fixture 21</t>
  </si>
  <si>
    <t>Fixture 22</t>
  </si>
  <si>
    <t>Fixture 23</t>
  </si>
  <si>
    <t>Fixture 24</t>
  </si>
  <si>
    <t>Fixture 25</t>
  </si>
  <si>
    <t>Fixture 26</t>
  </si>
  <si>
    <t>Fixture 27</t>
  </si>
  <si>
    <t>Fixture 28</t>
  </si>
  <si>
    <t>Fixture 29</t>
  </si>
  <si>
    <t>Fixture 30</t>
  </si>
  <si>
    <t>Fixture 31</t>
  </si>
  <si>
    <t>Fixture 32</t>
  </si>
  <si>
    <t>Fixture 33</t>
  </si>
  <si>
    <t>Fixture 34</t>
  </si>
  <si>
    <t>Fixture 35</t>
  </si>
  <si>
    <t>Fixture 36</t>
  </si>
  <si>
    <t>Fixture 37</t>
  </si>
  <si>
    <t>Fixture 38</t>
  </si>
  <si>
    <t>Fixture 39</t>
  </si>
  <si>
    <t>Fixture 40</t>
  </si>
  <si>
    <t>Fixture 41</t>
  </si>
  <si>
    <t>Fixture 42</t>
  </si>
  <si>
    <t>Fixture 43</t>
  </si>
  <si>
    <t>Fixture 44</t>
  </si>
  <si>
    <t>Fixture 45</t>
  </si>
  <si>
    <t>Fixture 46</t>
  </si>
  <si>
    <t>Fixture 47</t>
  </si>
  <si>
    <t>Fixture 48</t>
  </si>
  <si>
    <t>Fixture 49</t>
  </si>
  <si>
    <t>Fixture 50</t>
  </si>
  <si>
    <t>Fixture 51</t>
  </si>
  <si>
    <t>Fixture 52</t>
  </si>
  <si>
    <t>Fixture 53</t>
  </si>
  <si>
    <t>Fixture 54</t>
  </si>
  <si>
    <t>Fixture 55</t>
  </si>
  <si>
    <t>Fixture 56</t>
  </si>
  <si>
    <t>Fixture 57</t>
  </si>
  <si>
    <t>Fixture 58</t>
  </si>
  <si>
    <t>Fixture 59</t>
  </si>
  <si>
    <t>Fixture 60</t>
  </si>
  <si>
    <t>Fixture 61</t>
  </si>
  <si>
    <t>Fixture 62</t>
  </si>
  <si>
    <t>Fixture 63</t>
  </si>
  <si>
    <t>Fixture 64</t>
  </si>
  <si>
    <t>Fixture 65</t>
  </si>
  <si>
    <t>Fixture 66</t>
  </si>
  <si>
    <t>Fixture 67</t>
  </si>
  <si>
    <t>Fixture 68</t>
  </si>
  <si>
    <t>Fixture 69</t>
  </si>
  <si>
    <t>Fixture 70</t>
  </si>
  <si>
    <t>Fixture 71</t>
  </si>
  <si>
    <t>Fixture 72</t>
  </si>
  <si>
    <t>Fixture 73</t>
  </si>
  <si>
    <t>Fixture 74</t>
  </si>
  <si>
    <t>Fixture 75</t>
  </si>
  <si>
    <t>Fixture 76</t>
  </si>
  <si>
    <t>Fixture 77</t>
  </si>
  <si>
    <t>Fixture 78</t>
  </si>
  <si>
    <t>Fixture 79</t>
  </si>
  <si>
    <t>Fixture 80</t>
  </si>
  <si>
    <t>Fixture 81</t>
  </si>
  <si>
    <t>Fixture 82</t>
  </si>
  <si>
    <t>Fixture 83</t>
  </si>
  <si>
    <t>Fixture 84</t>
  </si>
  <si>
    <t>Fixture 85</t>
  </si>
  <si>
    <t>Fixture 86</t>
  </si>
  <si>
    <t>Fixture 87</t>
  </si>
  <si>
    <t>Fixture 88</t>
  </si>
  <si>
    <t>Fixture 89</t>
  </si>
  <si>
    <t>Fixture 90</t>
  </si>
  <si>
    <t>Fixture 91</t>
  </si>
  <si>
    <t>Fixture 92</t>
  </si>
  <si>
    <t>Fixture 93</t>
  </si>
  <si>
    <t>Fixture 94</t>
  </si>
  <si>
    <t>Fixture 95</t>
  </si>
  <si>
    <t>Fixture 96</t>
  </si>
  <si>
    <t>Fixture 97</t>
  </si>
  <si>
    <t>Fixture 98</t>
  </si>
  <si>
    <t>Fixture 99</t>
  </si>
  <si>
    <t>Fixture 100</t>
  </si>
  <si>
    <t>Fixture 101</t>
  </si>
  <si>
    <t>Fixture 102</t>
  </si>
  <si>
    <t>Fixture 103</t>
  </si>
  <si>
    <t>Fixture 104</t>
  </si>
  <si>
    <t>Fixture 105</t>
  </si>
  <si>
    <t>Fixture 106</t>
  </si>
  <si>
    <t>Fixture 107</t>
  </si>
  <si>
    <t>Fixture 108</t>
  </si>
  <si>
    <t>Fixture 109</t>
  </si>
  <si>
    <t>Fixture 110</t>
  </si>
  <si>
    <t>Fixture 111</t>
  </si>
  <si>
    <t>Fixture 112</t>
  </si>
  <si>
    <t>Fixture 113</t>
  </si>
  <si>
    <t>Fixture 114</t>
  </si>
  <si>
    <t>Fixture 115</t>
  </si>
  <si>
    <t>Fixture 116</t>
  </si>
  <si>
    <t>Fixture 117</t>
  </si>
  <si>
    <t>Fixture 118</t>
  </si>
  <si>
    <t>Fixture 119</t>
  </si>
  <si>
    <t>Fixture 120</t>
  </si>
  <si>
    <t>Fixture 121</t>
  </si>
  <si>
    <t>Fixture 122</t>
  </si>
  <si>
    <t>Fixture 123</t>
  </si>
  <si>
    <t>Fixture 124</t>
  </si>
  <si>
    <t>Fixture 125</t>
  </si>
  <si>
    <t>Fixture 126</t>
  </si>
  <si>
    <t>Fixture 127</t>
  </si>
  <si>
    <t>Fixture 128</t>
  </si>
  <si>
    <t>Fixture 129</t>
  </si>
  <si>
    <t>Fixture 130</t>
  </si>
  <si>
    <t>Fixture 131</t>
  </si>
  <si>
    <t>Fixture 132</t>
  </si>
  <si>
    <t>Fixture 133</t>
  </si>
  <si>
    <t>Fixture 134</t>
  </si>
  <si>
    <t>Fixture 135</t>
  </si>
  <si>
    <t>Fixture 136</t>
  </si>
  <si>
    <t>Fixture 137</t>
  </si>
  <si>
    <t>Fixture 138</t>
  </si>
  <si>
    <t>Fixture 139</t>
  </si>
  <si>
    <t>Fixture 140</t>
  </si>
  <si>
    <t>Fixture 141</t>
  </si>
  <si>
    <t>Fixture 142</t>
  </si>
  <si>
    <t>Fixture 143</t>
  </si>
  <si>
    <t>Fixture 144</t>
  </si>
  <si>
    <t>Fixture 145</t>
  </si>
  <si>
    <t>Fixture 146</t>
  </si>
  <si>
    <t>Fixture 147</t>
  </si>
  <si>
    <t>Fixture 148</t>
  </si>
  <si>
    <t>Fixture 149</t>
  </si>
  <si>
    <t>Fixture 150</t>
  </si>
  <si>
    <t>Fixture 151</t>
  </si>
  <si>
    <t>Fixture 152</t>
  </si>
  <si>
    <t>Fixture 153</t>
  </si>
  <si>
    <t>Fixture 154</t>
  </si>
  <si>
    <t>Fixture 155</t>
  </si>
  <si>
    <t>Fixture 156</t>
  </si>
  <si>
    <t>Fixture 157</t>
  </si>
  <si>
    <t>Fixture 158</t>
  </si>
  <si>
    <t>Fixture 159</t>
  </si>
  <si>
    <t>Fixture 160</t>
  </si>
  <si>
    <t>Fixture 161</t>
  </si>
  <si>
    <t>Fixture 162</t>
  </si>
  <si>
    <t>Fixture 163</t>
  </si>
  <si>
    <t>Fixture 164</t>
  </si>
  <si>
    <t>Fixture 165</t>
  </si>
  <si>
    <t>Fixture 166</t>
  </si>
  <si>
    <t>Fixture 167</t>
  </si>
  <si>
    <t>Fixture 168</t>
  </si>
  <si>
    <t>Fixture 169</t>
  </si>
  <si>
    <t>Fixture 170</t>
  </si>
  <si>
    <t>Fixture 171</t>
  </si>
  <si>
    <t>Fixture 172</t>
  </si>
  <si>
    <t>Fixture 173</t>
  </si>
  <si>
    <t>Fixture 174</t>
  </si>
  <si>
    <t>Fixture 175</t>
  </si>
  <si>
    <t>Fixture 176</t>
  </si>
  <si>
    <t>Fixture 177</t>
  </si>
  <si>
    <t>Fixture 178</t>
  </si>
  <si>
    <t>Fixture 179</t>
  </si>
  <si>
    <t>Fixture 180</t>
  </si>
  <si>
    <t>Fixture 181</t>
  </si>
  <si>
    <t>Fixture 182</t>
  </si>
  <si>
    <t>Fixture 183</t>
  </si>
  <si>
    <t>Fixture 184</t>
  </si>
  <si>
    <t>Fixture 185</t>
  </si>
  <si>
    <t>Fixture 186</t>
  </si>
  <si>
    <t>Fixture 187</t>
  </si>
  <si>
    <t>Fixture 188</t>
  </si>
  <si>
    <t>Fixture 189</t>
  </si>
  <si>
    <t>Fixture 190</t>
  </si>
  <si>
    <t>Fixture 191</t>
  </si>
  <si>
    <t>Fixture 192</t>
  </si>
  <si>
    <t>Fixture 193</t>
  </si>
  <si>
    <t>Fixture 194</t>
  </si>
  <si>
    <t>Fixture 195</t>
  </si>
  <si>
    <t>Fixture 196</t>
  </si>
  <si>
    <t>Fixture 197</t>
  </si>
  <si>
    <t>Fixture 198</t>
  </si>
  <si>
    <t>Fixture 199</t>
  </si>
  <si>
    <t>Fixture 200</t>
  </si>
  <si>
    <t>Corpus Lucidum</t>
  </si>
  <si>
    <t>Fixture Type</t>
  </si>
  <si>
    <t>Downlight</t>
  </si>
  <si>
    <t>Display Case</t>
  </si>
  <si>
    <t>Linear Ambient</t>
  </si>
  <si>
    <t>High Bay / Low Bay</t>
  </si>
  <si>
    <t>Agricultural</t>
  </si>
  <si>
    <t>Wall Pack</t>
  </si>
  <si>
    <t>Flood / Spot</t>
  </si>
  <si>
    <t>Wall Wash</t>
  </si>
  <si>
    <t>Directional / Track</t>
  </si>
  <si>
    <t>Landscape</t>
  </si>
  <si>
    <t>Other</t>
  </si>
  <si>
    <t>Fixture Types</t>
  </si>
  <si>
    <t>Pole / Arm Mount</t>
  </si>
  <si>
    <t>Click here, then choose</t>
  </si>
  <si>
    <t>Developed areas of national parks, state parks, forest land, and rural areas</t>
  </si>
  <si>
    <t>Areas predominantly consisting of residential zoning, neighborhood business districts, light industrial with limited nighttime use and residential mixed use areas</t>
  </si>
  <si>
    <t>All other areas not classified as lighting zone 1, 2 or 4</t>
  </si>
  <si>
    <t>High-activity commercial districts in major metropolitan areas as designated by the local land use planning authority</t>
  </si>
  <si>
    <t>Example</t>
  </si>
  <si>
    <t>Fixture No.</t>
  </si>
  <si>
    <t>Lighting - STEP 2: Specifying locations and quantities (Lighting Inventory)</t>
  </si>
  <si>
    <t>Line Item</t>
  </si>
  <si>
    <t>Location/Room</t>
  </si>
  <si>
    <t>Floor</t>
  </si>
  <si>
    <t>Interior or Exterior</t>
  </si>
  <si>
    <t>Predominant Space Type</t>
  </si>
  <si>
    <t>Area Cooling</t>
  </si>
  <si>
    <t>Area Heating</t>
  </si>
  <si>
    <t>Liquid Propane</t>
  </si>
  <si>
    <t>Units</t>
  </si>
  <si>
    <t>LPD</t>
  </si>
  <si>
    <t>Proposed Fixture Quantity</t>
  </si>
  <si>
    <t>Proposed Fixture # (from Step 1 Wattage Table)</t>
  </si>
  <si>
    <t>Proposed kW/space</t>
  </si>
  <si>
    <t>Proposed Control</t>
  </si>
  <si>
    <t>Occupancy/Daylight</t>
  </si>
  <si>
    <t>Proposed Sensor Quantity (if applicable)</t>
  </si>
  <si>
    <t>Eligible?</t>
  </si>
  <si>
    <t>Exterior</t>
  </si>
  <si>
    <t>Lighting Zone</t>
  </si>
  <si>
    <t>Description</t>
  </si>
  <si>
    <t>Column1</t>
  </si>
  <si>
    <t>Lighting Zone (select one)</t>
  </si>
  <si>
    <t>Square Footage Comparison</t>
  </si>
  <si>
    <t>Square footage from 'Project Info' tab</t>
  </si>
  <si>
    <t>Square footage from Lighting Inventory (below)</t>
  </si>
  <si>
    <t>Lighting Inventory</t>
  </si>
  <si>
    <t>Please add all spaces to the Lighting Inventory below such that the following values for square footage match</t>
  </si>
  <si>
    <t>Interior</t>
  </si>
  <si>
    <t>Proposed Watts/Fixture</t>
  </si>
  <si>
    <t>Selected Lighting Zone</t>
  </si>
  <si>
    <t>P R O J E C T    I N F O R M A T I O N</t>
  </si>
  <si>
    <t>BASELINE</t>
  </si>
  <si>
    <t>PROPOSED INSTALLATION</t>
  </si>
  <si>
    <t>INTERNAL USE</t>
  </si>
  <si>
    <t>Gymnasium</t>
  </si>
  <si>
    <t>Uncovered parking areas</t>
  </si>
  <si>
    <t>Predominant Space Type or Use</t>
  </si>
  <si>
    <t xml:space="preserve">Area Size   </t>
  </si>
  <si>
    <t>Lighting</t>
  </si>
  <si>
    <t>kWh</t>
  </si>
  <si>
    <t>Exterior Lighting</t>
  </si>
  <si>
    <t>NCL-I</t>
  </si>
  <si>
    <t>NCL-E</t>
  </si>
  <si>
    <t>Hot Water</t>
  </si>
  <si>
    <t>living unit served</t>
  </si>
  <si>
    <t>min GPM</t>
  </si>
  <si>
    <t>max GPM</t>
  </si>
  <si>
    <t>Fixture EFLH</t>
  </si>
  <si>
    <t>Screw-based EFLH</t>
  </si>
  <si>
    <t>Natural Gas</t>
  </si>
  <si>
    <t>Automotive Facility</t>
  </si>
  <si>
    <t>Electric</t>
  </si>
  <si>
    <t>None</t>
  </si>
  <si>
    <t>Convention Center</t>
  </si>
  <si>
    <t>Courthouse</t>
  </si>
  <si>
    <t>Dairy</t>
  </si>
  <si>
    <t>Exercise Center</t>
  </si>
  <si>
    <t>Fire Station</t>
  </si>
  <si>
    <t>Garage</t>
  </si>
  <si>
    <t>Garage, 24/7 lighting</t>
  </si>
  <si>
    <t>Hotel/Motel Common Areas</t>
  </si>
  <si>
    <t>Library</t>
  </si>
  <si>
    <t>Manufacturing</t>
  </si>
  <si>
    <t>Miscellaneous (Other)</t>
  </si>
  <si>
    <t>Please contact program representative.</t>
  </si>
  <si>
    <t>Movie Theatre</t>
  </si>
  <si>
    <t>Multi-Family Common Areas</t>
  </si>
  <si>
    <t xml:space="preserve">Museum </t>
  </si>
  <si>
    <t>Penitentiary</t>
  </si>
  <si>
    <t>Performing Arts Theatre</t>
  </si>
  <si>
    <t>Police Station</t>
  </si>
  <si>
    <t>Post Office</t>
  </si>
  <si>
    <t>Preschool/Childcare</t>
  </si>
  <si>
    <t>Religious Facility</t>
  </si>
  <si>
    <t>Restaurant - Lounge/Leisure</t>
  </si>
  <si>
    <t>Restaurant - Cafeteria/Fast Food</t>
  </si>
  <si>
    <t>Restaurant - Family</t>
  </si>
  <si>
    <t>Retail - Dept. Store</t>
  </si>
  <si>
    <t>Retail - Strip Mall</t>
  </si>
  <si>
    <t>Sports Arena</t>
  </si>
  <si>
    <t>Town Hall</t>
  </si>
  <si>
    <t>Workshop</t>
  </si>
  <si>
    <t>Area Description</t>
  </si>
  <si>
    <t>Occ Sensors Req'd?</t>
  </si>
  <si>
    <t>Classroom or Lecture Hall</t>
  </si>
  <si>
    <t>Yes</t>
  </si>
  <si>
    <t>Conference, Meeting or Training Room</t>
  </si>
  <si>
    <t>2. Office Low Rise factors used for Office space</t>
  </si>
  <si>
    <t>Copy or Printing Room</t>
  </si>
  <si>
    <t>3. Worst case factors used for Hospital</t>
  </si>
  <si>
    <t>Dressing, Locker or Fitting Room</t>
  </si>
  <si>
    <t>4. Mid Rise MF factors  used for Multi-Familiy Common Areas</t>
  </si>
  <si>
    <t>Employee Lunch or Break Room</t>
  </si>
  <si>
    <t>5. Interior ESF = 0.24 for occ sensors, and 0.38 for occ/daylight sensors per the TRM</t>
  </si>
  <si>
    <t>6. Exterior ESF = 0.25 = (0.5 (12 -6) * 365)/4303 (50% dimming from midnight to 6 a.m.), per the TRM, ESF for exterior occ sensors = 0.41</t>
  </si>
  <si>
    <t>Private Office less than 250 ft^2</t>
  </si>
  <si>
    <t>Restrooms</t>
  </si>
  <si>
    <t>Storage or Supply Room Between 50 ft^2 and 1,000 ft^2</t>
  </si>
  <si>
    <t>Base Site Allowance</t>
  </si>
  <si>
    <t>Non-standard units</t>
  </si>
  <si>
    <t>Notes</t>
  </si>
  <si>
    <t>linear ft</t>
  </si>
  <si>
    <t>Stairways</t>
  </si>
  <si>
    <t>Pedestrian tunnels</t>
  </si>
  <si>
    <t>Landscaping</t>
  </si>
  <si>
    <t>Dining Areas</t>
  </si>
  <si>
    <t>Entry canopies</t>
  </si>
  <si>
    <t>Loading Docks</t>
  </si>
  <si>
    <t>Sales canopies - free standing and attached</t>
  </si>
  <si>
    <t>Outdoor sales - open areas</t>
  </si>
  <si>
    <t>Street frontage for vehicle sales</t>
  </si>
  <si>
    <t>Either/or</t>
  </si>
  <si>
    <t>Entrances/Inspection stations at guarded facilities</t>
  </si>
  <si>
    <t>for uncovered areas only</t>
  </si>
  <si>
    <t>Drive-through windows/doors</t>
  </si>
  <si>
    <t xml:space="preserve">Parking near 24-hour retail </t>
  </si>
  <si>
    <t>W</t>
  </si>
  <si>
    <t>window(s)</t>
  </si>
  <si>
    <t>Automated teller machines</t>
  </si>
  <si>
    <t>ATM(s)</t>
  </si>
  <si>
    <t>Lighting Zone 1</t>
  </si>
  <si>
    <t>Lighting Zone 2</t>
  </si>
  <si>
    <t>Lighting Zone 3</t>
  </si>
  <si>
    <t>Lighting Zone 4</t>
  </si>
  <si>
    <t>Lighting Zone 0</t>
  </si>
  <si>
    <t>CL480-45K-175-B</t>
  </si>
  <si>
    <t>Public Incentive</t>
  </si>
  <si>
    <t>Private Incentive</t>
  </si>
  <si>
    <t>Sector</t>
  </si>
  <si>
    <t>SECTOR</t>
  </si>
  <si>
    <t>Unit of local government</t>
  </si>
  <si>
    <t>Public school district</t>
  </si>
  <si>
    <t>Community college</t>
  </si>
  <si>
    <t>State or federal facility</t>
  </si>
  <si>
    <t>Public</t>
  </si>
  <si>
    <t>Private</t>
  </si>
  <si>
    <t>isPublic</t>
  </si>
  <si>
    <t>System Type</t>
  </si>
  <si>
    <t>steam</t>
  </si>
  <si>
    <t>hot water boiler</t>
  </si>
  <si>
    <t>System Types</t>
  </si>
  <si>
    <t>--&gt;</t>
  </si>
  <si>
    <t xml:space="preserve">      • Boiler must be used for at least 80% space heating (not process)
      • Hot water boiler 93% minimum efficiency; steam boiler 91% minimum efficiency (AFUE or thermal efficiency (TE)</t>
  </si>
  <si>
    <t>Reduced kW</t>
  </si>
  <si>
    <t>Reduced kWh per year</t>
  </si>
  <si>
    <t>Annual Energy Cost Savings</t>
  </si>
  <si>
    <t>Your Electric Rate ($/kWh) (money spent on electricity for a year divided by kWh used in a year)</t>
  </si>
  <si>
    <t>Cost of Materials (please provide a quote or proposal to support this value)</t>
  </si>
  <si>
    <t xml:space="preserve">  </t>
  </si>
  <si>
    <t>Project Cost</t>
  </si>
  <si>
    <t>Estimated Base Custom Incentive (this value may be subsequently capped, see below)</t>
  </si>
  <si>
    <t>Cost of EXTERNAL Labor (please provide a quote or proposal to support this value)</t>
  </si>
  <si>
    <t>Reduced Therms</t>
  </si>
  <si>
    <t>Reduced Therms per year</t>
  </si>
  <si>
    <t>Your Natural Gas Rate ($/Therm)</t>
  </si>
  <si>
    <t>Annual Natural Gas Cost Savings</t>
  </si>
  <si>
    <t>Reduced Potable Water Use (gallons per year)</t>
  </si>
  <si>
    <t>Reduced Wastewater Use (gallons per year)</t>
  </si>
  <si>
    <t>Reduced Water Use (Supply and Waste) (gallons per year)</t>
  </si>
  <si>
    <t>Reduced Water Use (Supply and Waste) (1000 gallons per year)</t>
  </si>
  <si>
    <t>Additional Custom Incentive</t>
  </si>
  <si>
    <t>Custom</t>
  </si>
  <si>
    <t>CI-E</t>
  </si>
  <si>
    <t>CI-G</t>
  </si>
  <si>
    <t>CI-W</t>
  </si>
  <si>
    <t>Custom electric project</t>
  </si>
  <si>
    <t>Custom gas project</t>
  </si>
  <si>
    <t>Additional incentive for water savings</t>
  </si>
  <si>
    <t>Custom Projects</t>
  </si>
  <si>
    <t>Therm</t>
  </si>
  <si>
    <t>kgal</t>
  </si>
  <si>
    <t>Tradable Exterior</t>
  </si>
  <si>
    <t>Nontradable Exterior</t>
  </si>
  <si>
    <t>Automated teller machines (additional units)</t>
  </si>
  <si>
    <t>NOTES:</t>
  </si>
  <si>
    <t xml:space="preserve"> Interior or Exterior</t>
  </si>
  <si>
    <t>Cooled</t>
  </si>
  <si>
    <t>Not Cooled</t>
  </si>
  <si>
    <t>for first ATM</t>
  </si>
  <si>
    <t>each additional ATM</t>
  </si>
  <si>
    <t>W/[entrance width]</t>
  </si>
  <si>
    <t>W/[linear ft]</t>
  </si>
  <si>
    <t>Pedestrian and vehicular entrances and exits</t>
  </si>
  <si>
    <t>Building facades</t>
  </si>
  <si>
    <t>Walkways &gt;= 10 ft, plaza or special feature</t>
  </si>
  <si>
    <t>Walkways &lt; 10 ft wide</t>
  </si>
  <si>
    <t>Loading area: law enforcement, emergency vehicles</t>
  </si>
  <si>
    <t>entrance width(ft)</t>
  </si>
  <si>
    <t>Occupancy</t>
  </si>
  <si>
    <t>Daylight</t>
  </si>
  <si>
    <t>Proposed Controls</t>
  </si>
  <si>
    <t>N/A</t>
  </si>
  <si>
    <t>Parking</t>
  </si>
  <si>
    <t>Lighting - STEP 1: Compiling a list of proposed fixture specifications</t>
  </si>
  <si>
    <t>Non-profit</t>
  </si>
  <si>
    <t>Flat Panel / Troffer</t>
  </si>
  <si>
    <t>Sales floor - track lights</t>
  </si>
  <si>
    <t>Sales floor - linear fixtures</t>
  </si>
  <si>
    <t>Interior Lighting</t>
  </si>
  <si>
    <t>Estimated Annual kWh Savings</t>
  </si>
  <si>
    <t>Estimated Cost Savings</t>
  </si>
  <si>
    <t xml:space="preserve">Annual Operating Hours - Deemed </t>
  </si>
  <si>
    <t xml:space="preserve">Annual Operating Hours - Actual </t>
  </si>
  <si>
    <t>Tier Level</t>
  </si>
  <si>
    <t>Lighting - STEP 3: Verifying Annual Lighting Savings</t>
  </si>
  <si>
    <r>
      <rPr>
        <b/>
        <u/>
        <sz val="11"/>
        <color theme="1"/>
        <rFont val="Calibri"/>
        <family val="2"/>
        <scheme val="minor"/>
      </rPr>
      <t>INSTRUCTIONS:</t>
    </r>
    <r>
      <rPr>
        <sz val="11"/>
        <color theme="1"/>
        <rFont val="Calibri"/>
        <family val="2"/>
        <scheme val="minor"/>
      </rPr>
      <t xml:space="preserve"> Review the estimated values below. If any appear inaccurate, please correct the information entered for Steps 1 and 2 on the previous tabs. This tab is for review only and is not editable.</t>
    </r>
  </si>
  <si>
    <t>Indoor Agriculture/Grow Facility</t>
  </si>
  <si>
    <t>Base kW/space</t>
  </si>
  <si>
    <t>Interior Sq.Footage</t>
  </si>
  <si>
    <t>Exterior Sq.Footage</t>
  </si>
  <si>
    <t>ENERGY CALCULATIONS</t>
  </si>
  <si>
    <t>Deemed Equivalent Full Load Hours (EFLH)</t>
  </si>
  <si>
    <t>Coincidence Factor (CF)</t>
  </si>
  <si>
    <t>Interactive Factor, demand (WHFd)</t>
  </si>
  <si>
    <t>Interactive Factor, energy (WHFe)</t>
  </si>
  <si>
    <r>
      <t xml:space="preserve">Interior </t>
    </r>
    <r>
      <rPr>
        <b/>
        <sz val="11"/>
        <color theme="1"/>
        <rFont val="Calibri"/>
        <family val="2"/>
      </rPr>
      <t>Δ</t>
    </r>
    <r>
      <rPr>
        <b/>
        <sz val="11"/>
        <color theme="1"/>
        <rFont val="Calibri"/>
        <family val="2"/>
        <scheme val="minor"/>
      </rPr>
      <t xml:space="preserve"> Connected Load
[kW]</t>
    </r>
  </si>
  <si>
    <t>Exterior Δ Connected Load [kW]</t>
  </si>
  <si>
    <t>Demand Savings
[kW]</t>
  </si>
  <si>
    <t>Interactive Factor, Demand (WHFd)</t>
  </si>
  <si>
    <t>Interactive Factor, Energy
(WHFe)</t>
  </si>
  <si>
    <t>Proposed Controls Factor (ESFee)</t>
  </si>
  <si>
    <t>Base Controls Factor 
(ESFb)</t>
  </si>
  <si>
    <t>ESF</t>
  </si>
  <si>
    <t>Energy Savings [kWh]</t>
  </si>
  <si>
    <t>Interior Savings:</t>
  </si>
  <si>
    <t>Exterior Savings:</t>
  </si>
  <si>
    <t>Shortcut for ft^2 (type "sqft")</t>
  </si>
  <si>
    <t>Demand Savings  [kW]</t>
  </si>
  <si>
    <t>Estimated cost/kWh</t>
  </si>
  <si>
    <t>Maximum operating hours</t>
  </si>
  <si>
    <t>Tier</t>
  </si>
  <si>
    <t>Incentive/kWh</t>
  </si>
  <si>
    <t>Low</t>
  </si>
  <si>
    <t>High</t>
  </si>
  <si>
    <t>Num</t>
  </si>
  <si>
    <t>Exterior incentive rate [$/kWh]</t>
  </si>
  <si>
    <t>Total Estimated Incentive</t>
  </si>
  <si>
    <t>Calculated Incentive (capped at $150,000)</t>
  </si>
  <si>
    <t>Lighting incentive cap</t>
  </si>
  <si>
    <t>Value</t>
  </si>
  <si>
    <t>total kWh - deemed</t>
  </si>
  <si>
    <t>TRM Deemed</t>
  </si>
  <si>
    <t>total kWh - actual</t>
  </si>
  <si>
    <t>years useful life</t>
  </si>
  <si>
    <t>useful life source</t>
  </si>
  <si>
    <t>Ineligible Interior:</t>
  </si>
  <si>
    <t>Ineligible Exterior:</t>
  </si>
  <si>
    <t>Interior rate awarded</t>
  </si>
  <si>
    <r>
      <rPr>
        <b/>
        <sz val="10"/>
        <color theme="1"/>
        <rFont val="Calibri"/>
        <family val="2"/>
        <scheme val="minor"/>
      </rPr>
      <t>For</t>
    </r>
    <r>
      <rPr>
        <b/>
        <sz val="10"/>
        <color theme="0" tint="-0.249977111117893"/>
        <rFont val="Calibri"/>
        <family val="2"/>
        <scheme val="minor"/>
      </rPr>
      <t>_</t>
    </r>
    <r>
      <rPr>
        <b/>
        <sz val="10"/>
        <color theme="1"/>
        <rFont val="Calibri"/>
        <family val="2"/>
        <scheme val="minor"/>
      </rPr>
      <t>internal</t>
    </r>
    <r>
      <rPr>
        <b/>
        <sz val="10"/>
        <color theme="0" tint="-0.249977111117893"/>
        <rFont val="Calibri"/>
        <family val="2"/>
        <scheme val="minor"/>
      </rPr>
      <t>_</t>
    </r>
    <r>
      <rPr>
        <b/>
        <sz val="10"/>
        <color theme="1"/>
        <rFont val="Calibri"/>
        <family val="2"/>
        <scheme val="minor"/>
      </rPr>
      <t>use</t>
    </r>
    <r>
      <rPr>
        <b/>
        <sz val="10"/>
        <color theme="0" tint="-0.249977111117893"/>
        <rFont val="Calibri"/>
        <family val="2"/>
        <scheme val="minor"/>
      </rPr>
      <t>_</t>
    </r>
    <r>
      <rPr>
        <b/>
        <sz val="10"/>
        <color theme="1"/>
        <rFont val="Calibri"/>
        <family val="2"/>
        <scheme val="minor"/>
      </rPr>
      <t>only:</t>
    </r>
    <r>
      <rPr>
        <sz val="10"/>
        <color theme="1"/>
        <rFont val="Calibri"/>
        <family val="2"/>
        <scheme val="minor"/>
      </rPr>
      <t xml:space="preserve"> int.</t>
    </r>
    <r>
      <rPr>
        <sz val="10"/>
        <rFont val="Calibri"/>
        <family val="2"/>
        <scheme val="minor"/>
      </rPr>
      <t>kWh-actual</t>
    </r>
  </si>
  <si>
    <t>Linear Ambient/Strip Fixture</t>
  </si>
  <si>
    <t>(Base) Controls Factor (ESF)
INCLUDE EXCEPTED SpaceTypes</t>
  </si>
  <si>
    <t>Controls for Multifamily Facility Hot Water</t>
  </si>
  <si>
    <t>Display Range</t>
  </si>
  <si>
    <t>Commercial Tankless Water Heaters (Electric)</t>
  </si>
  <si>
    <t>Commercial Tanked Water Heaters (Gas)</t>
  </si>
  <si>
    <t>Cabinet Size</t>
  </si>
  <si>
    <t>Three-Quarter Electric Hot Holding Cabinet (10-16 cu ft)</t>
  </si>
  <si>
    <t>Half-Size Electric Hot Holding Cabinet (&lt; 10cu ft)</t>
  </si>
  <si>
    <t>Half size (&lt; 10 cu ft)</t>
  </si>
  <si>
    <t>Full size (&gt; 16 cu ft)</t>
  </si>
  <si>
    <t>Three-quarter size (10 - 16 cu ft)</t>
  </si>
  <si>
    <t>cabinet</t>
  </si>
  <si>
    <t>Electric Griddle</t>
  </si>
  <si>
    <t>Fast food (closes 11pm or earlier)</t>
  </si>
  <si>
    <t>Fast Food (open past 11pm)</t>
  </si>
  <si>
    <t>Pizza</t>
  </si>
  <si>
    <t>Cafeteria</t>
  </si>
  <si>
    <t>Full Service (closes 11pm or earlier)</t>
  </si>
  <si>
    <t>Full Service (open past 11pm)</t>
  </si>
  <si>
    <t>Hospitality Facility Type Subcategories</t>
  </si>
  <si>
    <t>Electric Convection Oven</t>
  </si>
  <si>
    <t>oven</t>
  </si>
  <si>
    <t>Electric 3-pan steamer</t>
  </si>
  <si>
    <t>Electric 4-pan steamer</t>
  </si>
  <si>
    <t>Electric 5-pan steamer</t>
  </si>
  <si>
    <t>Electric 6-pan steamer</t>
  </si>
  <si>
    <t>steamer</t>
  </si>
  <si>
    <t>Pan Capacity</t>
  </si>
  <si>
    <t>3-pan</t>
  </si>
  <si>
    <t>4-pan</t>
  </si>
  <si>
    <t>5-pan</t>
  </si>
  <si>
    <t>6-pan</t>
  </si>
  <si>
    <t>Measure Code (for VLOOKUP)</t>
  </si>
  <si>
    <t>&lt;--- Click '+' on the left for ADDITIONAL ROWS</t>
  </si>
  <si>
    <t>Blank</t>
  </si>
  <si>
    <t>Gas 6-pan steamer</t>
  </si>
  <si>
    <t>Gas 5-pan steamer</t>
  </si>
  <si>
    <t>Electric combination steam/convection oven</t>
  </si>
  <si>
    <t>Gas combination steam/convection oven</t>
  </si>
  <si>
    <t>Hot Holding Cabinets (Electric)</t>
  </si>
  <si>
    <t>Combination Ovens (Electric and Gas)</t>
  </si>
  <si>
    <t>Food Steamers (Electric and Gas)</t>
  </si>
  <si>
    <t>Convection Ovens (Electric)</t>
  </si>
  <si>
    <t>Griddles (Electric and Gas)</t>
  </si>
  <si>
    <t>Full-Size Electric Hot Holding Cabinet (&gt; 16 cu ft)</t>
  </si>
  <si>
    <t>Gas Griddle</t>
  </si>
  <si>
    <t>griddle</t>
  </si>
  <si>
    <t>Ovens (Electric and Gas)</t>
  </si>
  <si>
    <t>Double Rack Ovens (Gas)</t>
  </si>
  <si>
    <t>Min baking efficiency</t>
  </si>
  <si>
    <t>utilizing ASTM standard 2093</t>
  </si>
  <si>
    <t>Gas double rack oven</t>
  </si>
  <si>
    <t>Gas commercial fryer</t>
  </si>
  <si>
    <t>fryer</t>
  </si>
  <si>
    <t>cooker</t>
  </si>
  <si>
    <t>Commercial Fryers (Gas)</t>
  </si>
  <si>
    <t>Pasta Cookers (Gas)</t>
  </si>
  <si>
    <t>`</t>
  </si>
  <si>
    <t>Dishwashers - High Temperature (with Booster Heater)</t>
  </si>
  <si>
    <t>Under counter unit</t>
  </si>
  <si>
    <t>Door type unit</t>
  </si>
  <si>
    <t>Single-tank conveyor</t>
  </si>
  <si>
    <t>Multi-tank conveyor</t>
  </si>
  <si>
    <t>dishwasher</t>
  </si>
  <si>
    <t>Pot/pan/utensil type</t>
  </si>
  <si>
    <t>Green Nozzles</t>
  </si>
  <si>
    <t>Call toll free 1.866.800.0747 for details (Replaces current pre-rinse spray nozzle with low flow nozzle)</t>
  </si>
  <si>
    <t>FREE to you - $100 retail value</t>
  </si>
  <si>
    <t xml:space="preserve">      • Must have Ameren Illinois electric/gas service to qualify</t>
  </si>
  <si>
    <t>GN</t>
  </si>
  <si>
    <t>FREE($100 value)</t>
  </si>
  <si>
    <t>hp controlled</t>
  </si>
  <si>
    <t>Demand control of kitchen ventilation fans</t>
  </si>
  <si>
    <t>Ozone laundry system</t>
  </si>
  <si>
    <t>sensor</t>
  </si>
  <si>
    <t>Facility</t>
  </si>
  <si>
    <t>Multifamily</t>
  </si>
  <si>
    <t>Fitness &amp; Recreational Sports Center</t>
  </si>
  <si>
    <t>Dry Cleaner</t>
  </si>
  <si>
    <t>Assisted Living Facility</t>
  </si>
  <si>
    <t>Laundry: Ozone System</t>
  </si>
  <si>
    <t>Total Capacity / Size in lbs.</t>
  </si>
  <si>
    <t>Facility Type</t>
  </si>
  <si>
    <t>Commerical Laundry</t>
  </si>
  <si>
    <t>lb capacity</t>
  </si>
  <si>
    <t>Commercial Pool Cover</t>
  </si>
  <si>
    <t>Insulated pool cover</t>
  </si>
  <si>
    <t>square foot</t>
  </si>
  <si>
    <t>Location</t>
  </si>
  <si>
    <t>Indoor</t>
  </si>
  <si>
    <r>
      <t>Size of Pool in ft</t>
    </r>
    <r>
      <rPr>
        <b/>
        <vertAlign val="superscript"/>
        <sz val="10"/>
        <color theme="1"/>
        <rFont val="Calibri"/>
        <family val="2"/>
        <scheme val="minor"/>
      </rPr>
      <t>2</t>
    </r>
  </si>
  <si>
    <t>Pool Pump VFD</t>
  </si>
  <si>
    <t>pump</t>
  </si>
  <si>
    <t>Number of Pumps Installed</t>
  </si>
  <si>
    <t xml:space="preserve">      • Must have Ameren Illinois electric service to qualify
      • ENERGY STAR-certified variable speed pool pump
      • Must drive a variable load
      • Pumps greater than 3 hp should apply under the Standard VFD application
      • Must be installed on AC motor (DC motors are not eligible)
      • Redundant/backup units do not qualify
      • Minimum equipment operating hours 1,200/year</t>
  </si>
  <si>
    <t>hp per Pump</t>
  </si>
  <si>
    <t>Variable Frequency Drive (VFD) on pool pump</t>
  </si>
  <si>
    <t>Door Type</t>
  </si>
  <si>
    <t>BPR27</t>
  </si>
  <si>
    <t>BPR28</t>
  </si>
  <si>
    <t>BPR29</t>
  </si>
  <si>
    <t>BPR30</t>
  </si>
  <si>
    <t>min cubic ft</t>
  </si>
  <si>
    <t>max cubic ft</t>
  </si>
  <si>
    <t>solid door</t>
  </si>
  <si>
    <t>glass door</t>
  </si>
  <si>
    <t>BPR31</t>
  </si>
  <si>
    <t>BPR32</t>
  </si>
  <si>
    <t>freezer</t>
  </si>
  <si>
    <t>Freezers</t>
  </si>
  <si>
    <t>Solid door freezer (&lt; 15cu ft)</t>
  </si>
  <si>
    <t>Solid door freezer (15-30 cu ft)</t>
  </si>
  <si>
    <t>Solid door freezer  (31-50 cu ft)</t>
  </si>
  <si>
    <t>Solid door freezer (&gt;51 cu ft)</t>
  </si>
  <si>
    <t>Glass door freezer (31-50 cu ft)</t>
  </si>
  <si>
    <t>Glass door freezer (&gt;51 cu ft)</t>
  </si>
  <si>
    <t>Display range</t>
  </si>
  <si>
    <t>unit</t>
  </si>
  <si>
    <t>Evaporator Fan EC Motor Controls</t>
  </si>
  <si>
    <t>Motor Size</t>
  </si>
  <si>
    <t>1/15 – 1/20 HP motor</t>
  </si>
  <si>
    <t>1/5 HP motor</t>
  </si>
  <si>
    <t>1/3 HP motor</t>
  </si>
  <si>
    <t>1/2 HP motor</t>
  </si>
  <si>
    <t>3/4 HP motor</t>
  </si>
  <si>
    <t>BPR37</t>
  </si>
  <si>
    <t>control</t>
  </si>
  <si>
    <t>Quantity of Controlers</t>
  </si>
  <si>
    <t>Qty of Motors Controlled</t>
  </si>
  <si>
    <t>ECM for evaporator fan</t>
  </si>
  <si>
    <t>Q-Sync Motors</t>
  </si>
  <si>
    <t>BPR39</t>
  </si>
  <si>
    <t>Q-Sync Motors for Reach-In Coolers and Freezers</t>
  </si>
  <si>
    <t>Motor Type</t>
  </si>
  <si>
    <t>motor</t>
  </si>
  <si>
    <t xml:space="preserve">      • Must have Ameren Illinois electric service to qualify
      • Minimum of 1/20 HP where fans operate continuously at full speed
      • Must reduce fan motor power by at least 75% during the off cycle
      • Compressor must not run more than 4380 hours annually
      • Evaporator fan motor must not run on poly-phase power
      • Evaporator must use off-cycle or time-off defrost</t>
  </si>
  <si>
    <t xml:space="preserve">      • Must have Ameren Illinois electric service to qualify
      • Must be a Q-Sync motor with minimum 73% motor efficiency (as listed by manufacturer) and fan motor rating of 9-12W</t>
  </si>
  <si>
    <t>Quantity of Motors</t>
  </si>
  <si>
    <t>Motor Type/Use</t>
  </si>
  <si>
    <t>Battery Chargers</t>
  </si>
  <si>
    <t>High Frequency Battery Chargers</t>
  </si>
  <si>
    <t>BPBC1</t>
  </si>
  <si>
    <t>Single (8hr/5d)</t>
  </si>
  <si>
    <t>2-shift (16hr/5d)</t>
  </si>
  <si>
    <t>3-shift (24hr/5d)</t>
  </si>
  <si>
    <t>4-shift (24hr/7d)</t>
  </si>
  <si>
    <t>Number of Shifts</t>
  </si>
  <si>
    <t>Quantity Installed</t>
  </si>
  <si>
    <t>Industrial</t>
  </si>
  <si>
    <t>Controls for centralized domestic hot water system</t>
  </si>
  <si>
    <t>135 - 239 kBtuh input, greater than 12.0 EER</t>
  </si>
  <si>
    <t>240 - 759 kBtuh input, minimum 10.8 EER</t>
  </si>
  <si>
    <t>760 or more kBtuh input, minimum 10.2 EER</t>
  </si>
  <si>
    <t>Up to 150 tons, better than 10.1 full load EER and 13.7 IPLV EER</t>
  </si>
  <si>
    <t>150 tons and larger, better than 10.1 full load EER and 14 IPLV EER</t>
  </si>
  <si>
    <t>Less than 65 kBtuh, minimum 13 EER or minimum SEER 16.42</t>
  </si>
  <si>
    <t>INELIGIBLE</t>
  </si>
  <si>
    <t>&lt;--- this number (1+the upper eligibility limit) helps the LOOKUP function work</t>
  </si>
  <si>
    <t>40 - 140 kBtuh input</t>
  </si>
  <si>
    <t>141 - 225 kBtuh input</t>
  </si>
  <si>
    <t>No</t>
  </si>
  <si>
    <t>HVAC condensing furnace</t>
  </si>
  <si>
    <t>Facility Operating Hrs</t>
  </si>
  <si>
    <t>High temperature heating and ventilation direct fired gas heater</t>
  </si>
  <si>
    <t>20 - 250 kBtuh input</t>
  </si>
  <si>
    <t>Up to 299 kBtuh input</t>
  </si>
  <si>
    <t>300 to 499 kBtuh input</t>
  </si>
  <si>
    <t>500 to 999 kBtuh input</t>
  </si>
  <si>
    <t>1,000 to 1,699 kBtuh input</t>
  </si>
  <si>
    <t>Number of Living Units Served</t>
  </si>
  <si>
    <t>heater</t>
  </si>
  <si>
    <r>
      <t>5.0-9.9 GPM, minimum 70</t>
    </r>
    <r>
      <rPr>
        <sz val="10"/>
        <color theme="1"/>
        <rFont val="Calibri"/>
        <family val="2"/>
      </rPr>
      <t>°</t>
    </r>
    <r>
      <rPr>
        <sz val="10"/>
        <color theme="1"/>
        <rFont val="Calibri"/>
        <family val="2"/>
        <scheme val="minor"/>
      </rPr>
      <t>F temperature rise and 0.98 energy factor</t>
    </r>
  </si>
  <si>
    <t>Minimum 50 gal, 75 MBTUH and 88% efficiency</t>
  </si>
  <si>
    <t>isDS2</t>
  </si>
  <si>
    <t>isDS2 value</t>
  </si>
  <si>
    <t>Rate Code</t>
  </si>
  <si>
    <t>Yes - DS2</t>
  </si>
  <si>
    <t>No - Not DS2</t>
  </si>
  <si>
    <t>Public/DS2 Incentive</t>
  </si>
  <si>
    <t>Is your electric delivery service rate DS2?</t>
  </si>
  <si>
    <t>Select from drop-down list</t>
  </si>
  <si>
    <t>ESTIMATED CUSTOM INCENTIVE (contingent on technical review of project)</t>
  </si>
  <si>
    <t>Is your natural gas delivery service rate GS2 or GDS2?</t>
  </si>
  <si>
    <t>Yes - GS2/GDS2</t>
  </si>
  <si>
    <t>No - Not GS2/GDS2</t>
  </si>
  <si>
    <t>isGS2</t>
  </si>
  <si>
    <t>*</t>
  </si>
  <si>
    <t>Required Documentation Checklist &amp; Terms of Agreement</t>
  </si>
  <si>
    <t>O</t>
  </si>
  <si>
    <t>AmerenIllinoisSavings.com/forms</t>
  </si>
  <si>
    <t>click here for a blank W-9 form</t>
  </si>
  <si>
    <t>Terms of Agreement: Customer Acknowledgment and Signature</t>
  </si>
  <si>
    <r>
      <rPr>
        <b/>
        <sz val="11"/>
        <color theme="1"/>
        <rFont val="Calibri"/>
        <family val="2"/>
        <scheme val="minor"/>
      </rPr>
      <t>Supplemental Documentation</t>
    </r>
    <r>
      <rPr>
        <sz val="11"/>
        <color theme="1"/>
        <rFont val="Calibri"/>
        <family val="2"/>
        <scheme val="minor"/>
      </rPr>
      <t xml:space="preserve">
Supplemental forms are required for specific situations, as described below.  All supplemental documentation can be found on the Ameren Illinois Energy Efficiency Programs website:</t>
    </r>
  </si>
  <si>
    <r>
      <rPr>
        <b/>
        <sz val="11"/>
        <color theme="1"/>
        <rFont val="Calibri"/>
        <family val="2"/>
        <scheme val="minor"/>
      </rPr>
      <t>Other Required Information</t>
    </r>
    <r>
      <rPr>
        <sz val="11"/>
        <color theme="1"/>
        <rFont val="Calibri"/>
        <family val="2"/>
        <scheme val="minor"/>
      </rPr>
      <t xml:space="preserve">
Upon receipt of the pre-approval letter, Customer should immediately contact a program representative regarding any change to the project scope or timeline (including changes to equipment, project costs, projected energy savings or estimated completion date) to discuss how the change will impact your savings/incentive and the necessary steps required to request incentive changes.</t>
    </r>
  </si>
  <si>
    <t>Complete and submit of a letter of notice, signed by a corporate officer, that the company is proceeding with the project – due within 30 days of pre-approval letter.</t>
  </si>
  <si>
    <t>Submit documentation clearly demonstrating the project has commenced. This documentation may include, but is not limited to, purchase requisitions, purchase orders, invoices, sales contracts, etc., for equipment and/or services – due within 60 days of pre-approval letter (contact the program representative if you think your project will require more than 60 days)</t>
  </si>
  <si>
    <t>Contact a program representative monthly (no later than the end of each calendar month) to discuss the project plan, scope, and timeline – until the project is complete and the Incentive Payment Request Form is submitted</t>
  </si>
  <si>
    <t>Date (mm/dd/yyyy)</t>
  </si>
  <si>
    <t>Signature</t>
  </si>
  <si>
    <t>Print name</t>
  </si>
  <si>
    <t>To submit the Application, complete all items from the following checklist and fill out the remaining fields below:</t>
  </si>
  <si>
    <t>Toll Free: 1.866.800.0747 Fax: 1.309.677.7950</t>
  </si>
  <si>
    <t xml:space="preserve">Ameren Illinois Energy Efficiency Program </t>
  </si>
  <si>
    <t>New Construction Application</t>
  </si>
  <si>
    <t>Specialty Equipment - Hospitality</t>
  </si>
  <si>
    <t>HVAC - Heating Equipment</t>
  </si>
  <si>
    <r>
      <rPr>
        <b/>
        <u/>
        <sz val="11"/>
        <color theme="1"/>
        <rFont val="Calibri"/>
        <family val="2"/>
        <scheme val="minor"/>
      </rPr>
      <t>INSTRUCTIONS:</t>
    </r>
    <r>
      <rPr>
        <sz val="11"/>
        <color theme="1"/>
        <rFont val="Calibri"/>
        <family val="2"/>
        <scheme val="minor"/>
      </rPr>
      <t xml:space="preserve"> 
     • </t>
    </r>
    <r>
      <rPr>
        <b/>
        <sz val="11"/>
        <color rgb="FFFF0000"/>
        <rFont val="Calibri"/>
        <family val="2"/>
        <scheme val="minor"/>
      </rPr>
      <t>STOP</t>
    </r>
    <r>
      <rPr>
        <sz val="11"/>
        <color theme="1"/>
        <rFont val="Calibri"/>
        <family val="2"/>
        <scheme val="minor"/>
      </rPr>
      <t xml:space="preserve"> - Before filling in this tab, complete the 'PROJECT INFO' tab. Some incentive amounts will not calculate correctly 
        until a 'Sector' is selected in the 'Facility/Project Description' section of that tab.
     • Find the equipment for which you are requesting incentive, below
     • Enter required information into the </t>
    </r>
    <r>
      <rPr>
        <sz val="11"/>
        <rFont val="Calibri"/>
        <family val="2"/>
        <scheme val="minor"/>
      </rPr>
      <t>yellow</t>
    </r>
    <r>
      <rPr>
        <sz val="11"/>
        <color theme="1"/>
        <rFont val="Calibri"/>
        <family val="2"/>
        <scheme val="minor"/>
      </rPr>
      <t xml:space="preserve"> cells, left to right. White cells will automatically populate.
     • If more rows are needed, click the '+' sign on the left of the screen where indicated
     • Review the 'SUMMARY' tab to verify that the incentive amount is as expected</t>
    </r>
  </si>
  <si>
    <t>HVAC - Cooling Equipment</t>
  </si>
  <si>
    <t>HVAC - Water Heating Equipment</t>
  </si>
  <si>
    <t>Custom Electric Project</t>
  </si>
  <si>
    <t>Custom Natural Gas Project</t>
  </si>
  <si>
    <t>Additional Incentive for Custom Water Savings</t>
  </si>
  <si>
    <t>Notes:</t>
  </si>
  <si>
    <t>Specialty Equipment - Refrigeration</t>
  </si>
  <si>
    <t>Specialty Equipment - Industrial</t>
  </si>
  <si>
    <t>Instructions and Important Information</t>
  </si>
  <si>
    <t>General Instructions:</t>
  </si>
  <si>
    <t>Read the important information contained on this tab</t>
  </si>
  <si>
    <r>
      <t xml:space="preserve">Fill in the 'PROJECT INFO' tab </t>
    </r>
    <r>
      <rPr>
        <u/>
        <sz val="11"/>
        <color theme="1"/>
        <rFont val="Calibri"/>
        <family val="2"/>
        <scheme val="minor"/>
      </rPr>
      <t>first</t>
    </r>
  </si>
  <si>
    <t>Review the 'SUMMARY' tab to see which energy saving measures could be included in your project</t>
  </si>
  <si>
    <t>1.</t>
  </si>
  <si>
    <t>2.</t>
  </si>
  <si>
    <t>3.</t>
  </si>
  <si>
    <t>4.</t>
  </si>
  <si>
    <t>5.</t>
  </si>
  <si>
    <t>Check the 'SUMMARY' tab again to verify incentive amounts</t>
  </si>
  <si>
    <t>6.</t>
  </si>
  <si>
    <t>7.</t>
  </si>
  <si>
    <t>IllinoisBusinessProjects@ameren.com</t>
  </si>
  <si>
    <t>Send questions to: IllinoisBusinessEE@ameren.com</t>
  </si>
  <si>
    <t>Submit applications to: IllinoisBusinessProjects@ameren.com</t>
  </si>
  <si>
    <r>
      <t>I certify that all information provided in this Application is correct and complete. I have read, understand and agree to the program requirements and the Terms and Conditions set forth in this Application (see 'Terms and Conditions' tab), and I agree to abide by these requirements.</t>
    </r>
    <r>
      <rPr>
        <sz val="10"/>
        <rFont val="Calibri"/>
        <family val="2"/>
      </rPr>
      <t/>
    </r>
  </si>
  <si>
    <t>Fill in the appropriate equipment tabs for selected measures (Lighting, HVAC, Custom, etc.)</t>
  </si>
  <si>
    <t>Does your facility qualify?</t>
  </si>
  <si>
    <t>Does your project qualify?</t>
  </si>
  <si>
    <t>•</t>
  </si>
  <si>
    <t>Installing new, energy efficient equipment.</t>
  </si>
  <si>
    <t>New equipment meets eligibility guidelines as specified in the application.</t>
  </si>
  <si>
    <t>What you should know before beginning:</t>
  </si>
  <si>
    <r>
      <t xml:space="preserve">Preapproval is </t>
    </r>
    <r>
      <rPr>
        <b/>
        <u/>
        <sz val="10"/>
        <color theme="1"/>
        <rFont val="Calibri"/>
        <family val="2"/>
        <scheme val="minor"/>
      </rPr>
      <t>required</t>
    </r>
    <r>
      <rPr>
        <sz val="10"/>
        <color theme="1"/>
        <rFont val="Calibri"/>
        <family val="2"/>
        <scheme val="minor"/>
      </rPr>
      <t xml:space="preserve"> for </t>
    </r>
    <r>
      <rPr>
        <b/>
        <sz val="10"/>
        <color theme="1"/>
        <rFont val="Calibri"/>
        <family val="2"/>
        <scheme val="minor"/>
      </rPr>
      <t>ALL</t>
    </r>
    <r>
      <rPr>
        <sz val="10"/>
        <color theme="1"/>
        <rFont val="Calibri"/>
        <family val="2"/>
        <scheme val="minor"/>
      </rPr>
      <t xml:space="preserve"> New Construction projects. Do not purchase (including generating purchase orders) new equipment until receiving an official preapproval letter.</t>
    </r>
  </si>
  <si>
    <t>Stockpiles of equipment are not allowed: all equipment must be installed and operational.</t>
  </si>
  <si>
    <t>The lighting portion of the application can be submitted via the Online New Construction Lighting application:</t>
  </si>
  <si>
    <t>Please save a copy of this form to your computer.</t>
  </si>
  <si>
    <t>Participation overview:</t>
  </si>
  <si>
    <r>
      <t xml:space="preserve">Measures must be (1) self-installed by an employee of the Ameren Illinois customer listed on this application, </t>
    </r>
    <r>
      <rPr>
        <b/>
        <sz val="10"/>
        <color rgb="FFFF0000"/>
        <rFont val="Calibri"/>
        <family val="2"/>
        <scheme val="minor"/>
      </rPr>
      <t>or (2) installed by an Illinois Commerce Commission-approved Certified Installer</t>
    </r>
    <r>
      <rPr>
        <sz val="10"/>
        <color theme="1"/>
        <rFont val="Calibri"/>
        <family val="2"/>
        <scheme val="minor"/>
      </rPr>
      <t xml:space="preserve"> to qualify for an incentive. Certification of the self-installation or evidence of installation by a Certified Installer will be required. A complete list of Certified Installers can be found at:</t>
    </r>
  </si>
  <si>
    <r>
      <rPr>
        <u/>
        <sz val="10"/>
        <color theme="1"/>
        <rFont val="Calibri"/>
        <family val="2"/>
        <scheme val="minor"/>
      </rPr>
      <t>Step One</t>
    </r>
    <r>
      <rPr>
        <sz val="10"/>
        <color theme="1"/>
        <rFont val="Calibri"/>
        <family val="2"/>
        <scheme val="minor"/>
      </rPr>
      <t>: Submit your application for pre-approval as directed within this application form. Do not purchase any material or generate purchase orders until a pre-approval letter is issued.</t>
    </r>
  </si>
  <si>
    <r>
      <rPr>
        <u/>
        <sz val="10"/>
        <color theme="1"/>
        <rFont val="Calibri"/>
        <family val="2"/>
        <scheme val="minor"/>
      </rPr>
      <t>Step Four</t>
    </r>
    <r>
      <rPr>
        <sz val="10"/>
        <color theme="1"/>
        <rFont val="Calibri"/>
        <family val="2"/>
        <scheme val="minor"/>
      </rPr>
      <t>: Program staff may conduct a post installation verification inspection upon receiving final application paperwork.</t>
    </r>
  </si>
  <si>
    <r>
      <t xml:space="preserve">Send questions to: </t>
    </r>
    <r>
      <rPr>
        <u/>
        <sz val="11"/>
        <color theme="4" tint="-0.249977111117893"/>
        <rFont val="Calibri"/>
        <family val="2"/>
        <scheme val="minor"/>
      </rPr>
      <t>IllinoisBusinessEE@ameren.com</t>
    </r>
  </si>
  <si>
    <r>
      <t xml:space="preserve">Submit applications to: </t>
    </r>
    <r>
      <rPr>
        <u/>
        <sz val="11"/>
        <color theme="4" tint="-0.249977111117893"/>
        <rFont val="Calibri"/>
        <family val="2"/>
        <scheme val="minor"/>
      </rPr>
      <t>IllinoisBusinessProjects@ameren.com</t>
    </r>
  </si>
  <si>
    <t>Complete the 'AGREEMENT' tab and gather the required documents listed there</t>
  </si>
  <si>
    <r>
      <t xml:space="preserve">Attach </t>
    </r>
    <r>
      <rPr>
        <b/>
        <u/>
        <sz val="11"/>
        <color theme="1"/>
        <rFont val="Calibri"/>
        <family val="2"/>
        <scheme val="minor"/>
      </rPr>
      <t>manufacturer spec sheets</t>
    </r>
    <r>
      <rPr>
        <sz val="11"/>
        <color theme="1"/>
        <rFont val="Calibri"/>
        <family val="2"/>
        <scheme val="minor"/>
      </rPr>
      <t xml:space="preserve"> for all equipment for which you are requesting incentives. Please circle or highlight the information showing that it meets program technical requirements.</t>
    </r>
  </si>
  <si>
    <r>
      <t xml:space="preserve">Ensure the </t>
    </r>
    <r>
      <rPr>
        <b/>
        <u/>
        <sz val="11"/>
        <color theme="1"/>
        <rFont val="Calibri"/>
        <family val="2"/>
        <scheme val="minor"/>
      </rPr>
      <t>application is signed</t>
    </r>
    <r>
      <rPr>
        <sz val="11"/>
        <color theme="1"/>
        <rFont val="Calibri"/>
        <family val="2"/>
        <scheme val="minor"/>
      </rPr>
      <t xml:space="preserve"> by the Ameren Illinois customer and that the individual signing the form has initialed the box agreeing to the Terms and Conditions. (A typed signature is acceptable.)</t>
    </r>
  </si>
  <si>
    <r>
      <t>Attach a</t>
    </r>
    <r>
      <rPr>
        <b/>
        <sz val="11"/>
        <color theme="1"/>
        <rFont val="Calibri"/>
        <family val="2"/>
        <scheme val="minor"/>
      </rPr>
      <t xml:space="preserve"> </t>
    </r>
    <r>
      <rPr>
        <b/>
        <u/>
        <sz val="11"/>
        <color theme="1"/>
        <rFont val="Calibri"/>
        <family val="2"/>
        <scheme val="minor"/>
      </rPr>
      <t>signed W-9 form</t>
    </r>
    <r>
      <rPr>
        <sz val="11"/>
        <color theme="1"/>
        <rFont val="Calibri"/>
        <family val="2"/>
        <scheme val="minor"/>
      </rPr>
      <t xml:space="preserve"> with the Tax Identification Number associated with the Ameren Illinois customer. Incentives WILL NOT be paid until a completed and signed W-9 has been received.</t>
    </r>
  </si>
  <si>
    <r>
      <rPr>
        <b/>
        <u/>
        <sz val="11"/>
        <color theme="1"/>
        <rFont val="Calibri"/>
        <family val="2"/>
        <scheme val="minor"/>
      </rPr>
      <t>Payment Authorization Form</t>
    </r>
    <r>
      <rPr>
        <sz val="11"/>
        <color theme="1"/>
        <rFont val="Calibri"/>
        <family val="2"/>
        <scheme val="minor"/>
      </rPr>
      <t xml:space="preserve"> is required if incentive is to be paid to a party other than Customer</t>
    </r>
  </si>
  <si>
    <r>
      <rPr>
        <b/>
        <u/>
        <sz val="11"/>
        <color theme="1"/>
        <rFont val="Calibri"/>
        <family val="2"/>
        <scheme val="minor"/>
      </rPr>
      <t>Large Incentive Request Form</t>
    </r>
    <r>
      <rPr>
        <sz val="11"/>
        <color theme="1"/>
        <rFont val="Calibri"/>
        <family val="2"/>
        <scheme val="minor"/>
      </rPr>
      <t xml:space="preserve"> is required if total requested incentive is over $50,000</t>
    </r>
  </si>
  <si>
    <r>
      <rPr>
        <b/>
        <u/>
        <sz val="11"/>
        <color theme="1"/>
        <rFont val="Calibri"/>
        <family val="2"/>
        <scheme val="minor"/>
      </rPr>
      <t>Landlord Consent Form</t>
    </r>
    <r>
      <rPr>
        <sz val="11"/>
        <color theme="1"/>
        <rFont val="Calibri"/>
        <family val="2"/>
        <scheme val="minor"/>
      </rPr>
      <t xml:space="preserve"> is required if the Facility is under lease</t>
    </r>
  </si>
  <si>
    <r>
      <rPr>
        <u/>
        <sz val="10"/>
        <color theme="1"/>
        <rFont val="Calibri"/>
        <family val="2"/>
        <scheme val="minor"/>
      </rPr>
      <t>Step Two</t>
    </r>
    <r>
      <rPr>
        <sz val="10"/>
        <color theme="1"/>
        <rFont val="Calibri"/>
        <family val="2"/>
        <scheme val="minor"/>
      </rPr>
      <t>: Upon receipt of the pre-approval letter, purchase and install the approved equipment. NOTE: if you are considering changes to the scope of work, it is imperative to contact a program representative to discuss how the change will impact your savings/incentive and the necessary steps required to request incentive changes.</t>
    </r>
  </si>
  <si>
    <r>
      <rPr>
        <u/>
        <sz val="10"/>
        <color theme="1"/>
        <rFont val="Calibri"/>
        <family val="2"/>
        <scheme val="minor"/>
      </rPr>
      <t>Step Three</t>
    </r>
    <r>
      <rPr>
        <sz val="10"/>
        <color theme="1"/>
        <rFont val="Calibri"/>
        <family val="2"/>
        <scheme val="minor"/>
      </rPr>
      <t>: As soon as your project is completed, submit a completed Incentive Payment Request Form and all supporting documentation requested. Final Application Paperwork will be reviewed; if approved your incentive will be paid within 60 days of approval.</t>
    </r>
  </si>
  <si>
    <t>Non-residential facility. New construction or significant remodel affecting two or more building systems.</t>
  </si>
  <si>
    <t>Custom energy saving measures require additional documentation. See the 'Custom' tabs for details.</t>
  </si>
  <si>
    <r>
      <t xml:space="preserve">If available, </t>
    </r>
    <r>
      <rPr>
        <b/>
        <u/>
        <sz val="11"/>
        <color theme="1"/>
        <rFont val="Calibri"/>
        <family val="2"/>
        <scheme val="minor"/>
      </rPr>
      <t>copies of bids</t>
    </r>
    <r>
      <rPr>
        <sz val="11"/>
        <color theme="1"/>
        <rFont val="Calibri"/>
        <family val="2"/>
        <scheme val="minor"/>
      </rPr>
      <t xml:space="preserve"> showing project costs (external materials and labor) should be included.</t>
    </r>
  </si>
  <si>
    <t>(At a minimum, to allow proper calculation of incentives, select the appropriate market sector in the 'Facility/Project Description' section of the 'PROJECT INFO' tab)</t>
  </si>
  <si>
    <t>Verify that all applicable fields are filled in the 'PROJECT INFO' tab, as well as in the equipment tabs related to the project (Lighting, HVAC, Custom, etc.)</t>
  </si>
  <si>
    <t>Review incentive amounts in the 'SUMMARY' tab and make adjustments to the equipment tabs as necessary.</t>
  </si>
  <si>
    <t>After pre-approval, projects with a requested incentive greater than $100,000 should:</t>
  </si>
  <si>
    <t>By initialing this box and signing below, I certify that I have authority to make these statements and</t>
  </si>
  <si>
    <r>
      <t xml:space="preserve"> submit this Application. </t>
    </r>
    <r>
      <rPr>
        <b/>
        <sz val="11"/>
        <color theme="1"/>
        <rFont val="Calibri"/>
        <family val="2"/>
        <scheme val="minor"/>
      </rPr>
      <t>Applications will not be accepted as “complete” unless this box is initialed and all of the below fields are completed.</t>
    </r>
  </si>
  <si>
    <t>Please note, the application must be signed &amp; dated by the customer contact or otherwise authorized 3rd party. Electronic signatures are allowed and accepted by the Business Program. Typing your name above constitutes a valid electronic signature.</t>
  </si>
  <si>
    <t>Outdoor</t>
  </si>
  <si>
    <t xml:space="preserve">      • Must have Ameren Illinois electric service to qualify
      • All EER values must be rated at 95 degrees outdoor dry-bulb temperature
      • This measure is for units 65 kBtuh or less</t>
  </si>
  <si>
    <t>For electric projects: electric delivery service rate DS2, DS3, DS4, DS5, or DS6 and Energy Efficiency Demand Response surcharge on Ameren Illinois bill for the service point corresponding to the electric project. DS5 accounts should discuss with Ameren Illinois’ representatives prior to starting.</t>
  </si>
  <si>
    <t>Business</t>
  </si>
  <si>
    <r>
      <t>Interior lighting</t>
    </r>
    <r>
      <rPr>
        <sz val="10"/>
        <color theme="1"/>
        <rFont val="Calibri"/>
        <family val="2"/>
        <scheme val="minor"/>
      </rPr>
      <t/>
    </r>
  </si>
  <si>
    <t xml:space="preserve"> Incentive based on percent improvement over lighting power density (LPD) baseline:</t>
  </si>
  <si>
    <r>
      <rPr>
        <sz val="10"/>
        <color theme="10"/>
        <rFont val="Calibri"/>
        <family val="2"/>
        <scheme val="minor"/>
      </rPr>
      <t xml:space="preserve">      • </t>
    </r>
    <r>
      <rPr>
        <u/>
        <sz val="10"/>
        <color theme="10"/>
        <rFont val="Calibri"/>
        <family val="2"/>
        <scheme val="minor"/>
      </rPr>
      <t>Equipment must be listed on the AHRI website: https://www.ahridirectory.org/Search/SearchHome</t>
    </r>
  </si>
  <si>
    <t>Incentive is What Percent of the Job Cost (Ineligible if less than 10%, capped at 80%)</t>
  </si>
  <si>
    <t>Measure Code (for lookup)</t>
  </si>
  <si>
    <t>New construction or gut remodel.</t>
  </si>
  <si>
    <t>Total Interior proposed kW</t>
  </si>
  <si>
    <t>Ineligible Interior proposed kW</t>
  </si>
  <si>
    <t>Total Exterior proposed kW</t>
  </si>
  <si>
    <t>Ineligible Exterior proposed kW</t>
  </si>
  <si>
    <t>Exterior|Occupancy</t>
  </si>
  <si>
    <t>Exterior|Setback</t>
  </si>
  <si>
    <t>Interior|Occupancy</t>
  </si>
  <si>
    <t>Interior|Daylight</t>
  </si>
  <si>
    <t>Interior|Occupancy/Daylight</t>
  </si>
  <si>
    <t>Exterior|Daylight</t>
  </si>
  <si>
    <t>Exterior|Occupancy/Daylight</t>
  </si>
  <si>
    <t xml:space="preserve">      • Must have Ameren Illinois natural gas service to qualify</t>
  </si>
  <si>
    <t xml:space="preserve">      • Equipment must be listed on the AHRI website: https://www.ahridirectory.org/Search/SearchHome</t>
  </si>
  <si>
    <t>AFUE or TE</t>
  </si>
  <si>
    <t xml:space="preserve">      • Must have Ameren Illinois natural gas service to qualify
      • Recirculating pump shall cycle based on:
          o Recirculation loop return water dropping below a prescribed temperature (e.g. 100°F)
          o Centralized domestic hot water (CDHW) demand is sensed as water flow through the CDHW system</t>
  </si>
  <si>
    <t xml:space="preserve">      • Must have Ameren Illinois natural gas service to qualify
      • Must have storage capacity of 50 or more gallons and  input of at least 75 MBTUH
      • Thermal efficiency must be at least 88%</t>
  </si>
  <si>
    <t xml:space="preserve">      • Must have Ameren Illinois natural gas service to qualify
      • Install a moisture sensing controller on a commercial natural gas clothes dryer
      • Eligible facility types include: Hotel/Motel, Fitness &amp; Recreational Sports Centers, Dry Cleaners, Hospitals, Assisted living
         facilities, Multifamily buildings. All other building types should apply using the custom application.</t>
  </si>
  <si>
    <t xml:space="preserve">      • Must have Ameren Illinois natural gas service to qualify
      • Pool must be a commercial use swimming pool with natural gas heated water
      • Must be an insulated vinyl cover, covering the entire pool, with minimum 5 year warranty</t>
  </si>
  <si>
    <t xml:space="preserve">      • New natural gas fueled, hot water or steam boiler</t>
  </si>
  <si>
    <t xml:space="preserve">      • Must have Ameren Illinois electric service to qualify
      • Chiller must be used at least 80% for space cooling (not process)
      • Only single-chiller configurations may be submitted using this measure. Multiple-chiller configurations should use the 'Custom' tab</t>
  </si>
  <si>
    <r>
      <rPr>
        <b/>
        <u/>
        <sz val="11"/>
        <color theme="1"/>
        <rFont val="Calibri"/>
        <family val="2"/>
        <scheme val="minor"/>
      </rPr>
      <t>INSTRUCTIONS:</t>
    </r>
    <r>
      <rPr>
        <sz val="11"/>
        <color theme="1"/>
        <rFont val="Calibri"/>
        <family val="2"/>
        <scheme val="minor"/>
      </rPr>
      <t xml:space="preserve"> 
     • </t>
    </r>
    <r>
      <rPr>
        <b/>
        <sz val="11"/>
        <color rgb="FFFF0000"/>
        <rFont val="Calibri"/>
        <family val="2"/>
        <scheme val="minor"/>
      </rPr>
      <t>STOP</t>
    </r>
    <r>
      <rPr>
        <sz val="11"/>
        <color theme="1"/>
        <rFont val="Calibri"/>
        <family val="2"/>
        <scheme val="minor"/>
      </rPr>
      <t xml:space="preserve"> - Before filling in this tab, complete the 'PROJECT INFO' tab. Some incentive amounts will not calculate correctly 
        until a 'Sector' is selected in the 'Facility/Project Description' section of that tab.
     • Custom water savings are to be applied for in conjunction with a Custom Electric project
     • Enter required information into the </t>
    </r>
    <r>
      <rPr>
        <sz val="11"/>
        <rFont val="Calibri"/>
        <family val="2"/>
        <scheme val="minor"/>
      </rPr>
      <t>yellow</t>
    </r>
    <r>
      <rPr>
        <sz val="11"/>
        <color theme="1"/>
        <rFont val="Calibri"/>
        <family val="2"/>
        <scheme val="minor"/>
      </rPr>
      <t xml:space="preserve"> cells, left to right. White cells will automatically populate.
     • Review the 'SUMMARY' tab to verify that the incentive amount is as expected.</t>
    </r>
  </si>
  <si>
    <t xml:space="preserve">      • Must have Ameren Illinois natural gas service to qualify
      • Must serve a conventional commercial laundry system using natural gas, with total load capacity of 100-400 lbs
      • Must transfer ozone into the water through venturi injection or bubble infusion</t>
  </si>
  <si>
    <t>Laundry: Commercial Dryer Moisture Sensor</t>
  </si>
  <si>
    <t xml:space="preserve">      • Must have Ameren Illinois electric service to qualify
      • Installation of high frequency battery chargers used for industrial, battery-operated equipment (such as forklifts)
      • Minimum power conversion efficiency of 90%
      • Minimum 8-hour shift operation five days per week</t>
  </si>
  <si>
    <t>Cooler</t>
  </si>
  <si>
    <t>Freezer</t>
  </si>
  <si>
    <t>[INTERNAL NOTE: EC Motor is baseline]</t>
  </si>
  <si>
    <t>Interior|</t>
  </si>
  <si>
    <t>Exterior|</t>
  </si>
  <si>
    <r>
      <rPr>
        <b/>
        <sz val="10"/>
        <color theme="1"/>
        <rFont val="Calibri"/>
        <family val="2"/>
        <scheme val="minor"/>
      </rPr>
      <t>Post-implementation operating conditions</t>
    </r>
    <r>
      <rPr>
        <sz val="10"/>
        <color theme="1"/>
        <rFont val="Calibri"/>
        <family val="2"/>
        <scheme val="minor"/>
      </rPr>
      <t xml:space="preserve"> - What will operating conditions be after the project is complete?</t>
    </r>
  </si>
  <si>
    <r>
      <rPr>
        <b/>
        <sz val="10"/>
        <color theme="1"/>
        <rFont val="Calibri"/>
        <family val="2"/>
        <scheme val="minor"/>
      </rPr>
      <t>Changes resulting in improved natural gas efficiency</t>
    </r>
    <r>
      <rPr>
        <sz val="10"/>
        <color theme="1"/>
        <rFont val="Calibri"/>
        <family val="2"/>
        <scheme val="minor"/>
      </rPr>
      <t xml:space="preserve"> - Which change(s) will be made to improve energy efficiency? Include a summary of updated or replaced equipment, settings, schedule, etc. and how these changes will be maintained or managed going forward.</t>
    </r>
  </si>
  <si>
    <r>
      <rPr>
        <b/>
        <sz val="10"/>
        <color theme="1"/>
        <rFont val="Calibri"/>
        <family val="2"/>
        <scheme val="minor"/>
      </rPr>
      <t>Natural gas baseline operating conditions</t>
    </r>
    <r>
      <rPr>
        <sz val="10"/>
        <color theme="1"/>
        <rFont val="Calibri"/>
        <family val="2"/>
        <scheme val="minor"/>
      </rPr>
      <t xml:space="preserve"> - What would operating conditions be if the project does not proceed (i.e. system settings, schedules, equipment)? This may be a description of current conditions or a description of minimum operating requirements per existing codes. Include reasoning to support why baseline choice(s) are appropriate.</t>
    </r>
  </si>
  <si>
    <r>
      <rPr>
        <b/>
        <sz val="10"/>
        <color theme="1"/>
        <rFont val="Calibri"/>
        <family val="2"/>
        <scheme val="minor"/>
      </rPr>
      <t>Baseline electric operating conditions</t>
    </r>
    <r>
      <rPr>
        <sz val="10"/>
        <color theme="1"/>
        <rFont val="Calibri"/>
        <family val="2"/>
        <scheme val="minor"/>
      </rPr>
      <t xml:space="preserve"> - What would operating conditions be if the project does not proceed (i.e. system settings, schedules, equipment)? This may be a description of current conditions or a description of minimum operating requirements per existing codes. Include reasoning to support why baseline choice(s) are appropriate.</t>
    </r>
  </si>
  <si>
    <r>
      <rPr>
        <b/>
        <sz val="10"/>
        <color theme="1"/>
        <rFont val="Calibri"/>
        <family val="2"/>
        <scheme val="minor"/>
      </rPr>
      <t>Changes resulting in improved electric efficiency</t>
    </r>
    <r>
      <rPr>
        <sz val="10"/>
        <color theme="1"/>
        <rFont val="Calibri"/>
        <family val="2"/>
        <scheme val="minor"/>
      </rPr>
      <t xml:space="preserve"> - Which change(s) will be made to improve energy efficiency? Include a summary of updated or replaced equipment, settings, schedule, etc. and how these changes will be maintained or managed going forward.</t>
    </r>
  </si>
  <si>
    <r>
      <rPr>
        <b/>
        <sz val="10"/>
        <color theme="1"/>
        <rFont val="Calibri"/>
        <family val="2"/>
        <scheme val="minor"/>
      </rPr>
      <t>Baseline water-related operating conditions</t>
    </r>
    <r>
      <rPr>
        <sz val="10"/>
        <color theme="1"/>
        <rFont val="Calibri"/>
        <family val="2"/>
        <scheme val="minor"/>
      </rPr>
      <t xml:space="preserve"> - What would operating conditions be if the project does not proceed (i.e. system settings, schedules, equipment)? This may be a description of current conditions or a description of minimum operating requirements per existing codes. Include reasoning to support why baseline choice(s) are appropriate.</t>
    </r>
  </si>
  <si>
    <t>If you are not able to obtain an account number at this phase of your project, please note it is your responsibility as the Ameren Illinois customer to verify the location will be set up with Ameren Illinois delivery service (you may purchase your energy from any source) and to submit the account information to the program as soon as it is established. Incentives will be denied if the new location is not an Ameren Illinois delivery service customer.</t>
  </si>
  <si>
    <t>Alternatively, it can be sent by email or hard copy. Emails that include“zip” files or web links cannot be received. You will receive a confirmation email within two business days of submitting an application; please contact us if you do not receive a confirmation email.</t>
  </si>
  <si>
    <t>Estimated annual energy savings [kWh] - Deemed</t>
  </si>
  <si>
    <t>Networked Lighting Controls</t>
  </si>
  <si>
    <t>Interior|Networked Lighting Controls</t>
  </si>
  <si>
    <t xml:space="preserve">      • Project cost and savings are based on incremental cost and savings of high-efficiency equipment over standard efficiency equipment
      • Incentive calculations for Custom HVAC projects will be based upon realistic/submitted energy savings, but will be capped if the incentive exceeds $0.30*annual therm usage (for Private sector) or $0.75*annual therm usage (for Public sector and GDS2)</t>
  </si>
  <si>
    <t>Incentive applications are also capped at the project cost, which includes the costs of material and external labor (internal labor is not considered).</t>
  </si>
  <si>
    <r>
      <t xml:space="preserve">Submit all required documents, including an </t>
    </r>
    <r>
      <rPr>
        <b/>
        <sz val="11"/>
        <color theme="1"/>
        <rFont val="Calibri"/>
        <family val="2"/>
        <scheme val="minor"/>
      </rPr>
      <t>Excel version</t>
    </r>
    <r>
      <rPr>
        <sz val="11"/>
        <color theme="1"/>
        <rFont val="Calibri"/>
        <family val="2"/>
        <scheme val="minor"/>
      </rPr>
      <t xml:space="preserve"> of this application to:</t>
    </r>
  </si>
  <si>
    <t>ft²</t>
  </si>
  <si>
    <t>ii) New Construction Lighting, Feasibility Study, Leak Survey and Repair, Strategic Energy Monitoring, Small Business Direct Install, and Metering &amp; Monitoring incentives are capped at other amounts. Please see individual program applications for further details.</t>
  </si>
  <si>
    <t>Cannabis Grow Facility - Medicinal</t>
  </si>
  <si>
    <t>Cannabis Grow Facility - Recreational</t>
  </si>
  <si>
    <t>Description of proposed ENERGY EFFICIENT Measure/Equipment
(e.g., compressed air, exterior lighting, VFD, process improvement)</t>
  </si>
  <si>
    <t>Total BASELINE Electrical Load   (kW = W ÷ 1,000)</t>
  </si>
  <si>
    <t>Estimated BASELINE Annual Hours of Operation (hours/year)</t>
  </si>
  <si>
    <t>Estimated BASELINE kWh/year</t>
  </si>
  <si>
    <t>Project Description</t>
  </si>
  <si>
    <t>Custom Electric Project #2</t>
  </si>
  <si>
    <t>Custom Electric Project #3</t>
  </si>
  <si>
    <t>Custom Electric Project #4</t>
  </si>
  <si>
    <t>Project #2</t>
  </si>
  <si>
    <t>Project #3</t>
  </si>
  <si>
    <t>Project #4</t>
  </si>
  <si>
    <t>Baseline Energy Use</t>
  </si>
  <si>
    <t>Proposed Efficient Energy Use</t>
  </si>
  <si>
    <t>Estimated ENERGY EFFICIENT Annual Hours of Operation (hours/year)</t>
  </si>
  <si>
    <t>Estimated ENERGY EFFICIENT kWh/year</t>
  </si>
  <si>
    <t>Total ENERGY EFFICIENT Electrical Load   (kW = W ÷ 1,000)</t>
  </si>
  <si>
    <t>Savings and Incentive Calculation</t>
  </si>
  <si>
    <t>Custom Gas Project #2</t>
  </si>
  <si>
    <t>Custom Gas Project #3</t>
  </si>
  <si>
    <t>Custom Gas Project #4</t>
  </si>
  <si>
    <t>Estimated BASELINE Annual Therms</t>
  </si>
  <si>
    <t>BASELINE Natural Gas Load (total Therms per hour) Therms = Btu ÷ 100,000</t>
  </si>
  <si>
    <t>Description of BASELINE Measure/Equipment 
(i.e. what would be installed per code minimum or most basic specification)</t>
  </si>
  <si>
    <t>Description of BASELINE Measure/Equipment  
(i.e. what would be installed per code minimum or most basic specification)</t>
  </si>
  <si>
    <r>
      <rPr>
        <b/>
        <sz val="12"/>
        <color rgb="FF0070C0"/>
        <rFont val="Calibri"/>
        <family val="2"/>
      </rPr>
      <t>↑</t>
    </r>
    <r>
      <rPr>
        <b/>
        <i/>
        <sz val="12"/>
        <color rgb="FF0070C0"/>
        <rFont val="Calibri"/>
        <family val="2"/>
        <scheme val="minor"/>
      </rPr>
      <t xml:space="preserve"> Click '+' above to enter ADDITIONAL ELECTRIC PROJECTS</t>
    </r>
  </si>
  <si>
    <r>
      <rPr>
        <b/>
        <sz val="12"/>
        <color rgb="FF0070C0"/>
        <rFont val="Calibri"/>
        <family val="2"/>
      </rPr>
      <t>↑</t>
    </r>
    <r>
      <rPr>
        <b/>
        <i/>
        <sz val="12"/>
        <color rgb="FF0070C0"/>
        <rFont val="Calibri"/>
        <family val="2"/>
        <scheme val="minor"/>
      </rPr>
      <t xml:space="preserve"> Click '+' above to enter ADDITIONAL GAS PROJECTS</t>
    </r>
  </si>
  <si>
    <t>Custom Water Project #2</t>
  </si>
  <si>
    <t>Custom Water Project #3</t>
  </si>
  <si>
    <t>Custom Water Project #4</t>
  </si>
  <si>
    <r>
      <rPr>
        <b/>
        <sz val="10"/>
        <color theme="1"/>
        <rFont val="Calibri"/>
        <family val="2"/>
        <scheme val="minor"/>
      </rPr>
      <t>Changes resulting in reduction of water use</t>
    </r>
    <r>
      <rPr>
        <sz val="10"/>
        <color theme="1"/>
        <rFont val="Calibri"/>
        <family val="2"/>
        <scheme val="minor"/>
      </rPr>
      <t xml:space="preserve"> - Which change(s) will be made to improve energy efficiency? Include a summary of updated or replaced equipment, settings, schedule, etc. and how these changes will be maintained or managed going forward.</t>
    </r>
  </si>
  <si>
    <r>
      <t xml:space="preserve">Description of proposed ENERGY EFFICIENT Measure/Equipment
</t>
    </r>
    <r>
      <rPr>
        <i/>
        <sz val="10"/>
        <rFont val="Calibri"/>
        <family val="2"/>
      </rPr>
      <t>(e.g., Steam system, process heat system, heat recovery, other process improvements)</t>
    </r>
  </si>
  <si>
    <t>ENERGY EFFICIENT Natural Gas Load (total Therms per hour) Therms = Btu ÷ 100,000</t>
  </si>
  <si>
    <t>Estimated ENERGY EFFICIENT Annual Therms</t>
  </si>
  <si>
    <t>Description of BASELINE Water Conditions</t>
  </si>
  <si>
    <t>Description of EFFICIENT Water Conditions</t>
  </si>
  <si>
    <t>BASELINE Potable Water Supply Use (gallons per year)</t>
  </si>
  <si>
    <t>BASELINE Wastewater Treatment Disposal (gallons per year)</t>
  </si>
  <si>
    <t>Baseline/Existing Water Use</t>
  </si>
  <si>
    <t>Proposed Efficient Water Use</t>
  </si>
  <si>
    <t>EFFICIENT Potable Water Supply Use (gallons per year)</t>
  </si>
  <si>
    <t>EFFICIENT Wastewater Treatment Disposal (gallons per year)</t>
  </si>
  <si>
    <r>
      <t xml:space="preserve">      • Project cost and savings are based on incremental cost and savings of high-efficiency equipment over standard efficiency equipment
      • Incentive calculations for </t>
    </r>
    <r>
      <rPr>
        <b/>
        <sz val="10"/>
        <color theme="1"/>
        <rFont val="Calibri"/>
        <family val="2"/>
        <scheme val="minor"/>
      </rPr>
      <t>Custom HVAC projects</t>
    </r>
    <r>
      <rPr>
        <sz val="10"/>
        <color theme="1"/>
        <rFont val="Calibri"/>
        <family val="2"/>
        <scheme val="minor"/>
      </rPr>
      <t xml:space="preserve"> will be based on realistic/submitted energy savings, but will be capped if the incentive exceeds $0.03*annual kWh usage (for Private sector) or $0.045*annual kWh usage (for Public sector and DS2). A completed supplemental calculator must be submited with the application. </t>
    </r>
  </si>
  <si>
    <r>
      <rPr>
        <b/>
        <sz val="12"/>
        <color rgb="FF0070C0"/>
        <rFont val="Calibri"/>
        <family val="2"/>
      </rPr>
      <t>↑</t>
    </r>
    <r>
      <rPr>
        <b/>
        <i/>
        <sz val="12"/>
        <color rgb="FF0070C0"/>
        <rFont val="Calibri"/>
        <family val="2"/>
        <scheme val="minor"/>
      </rPr>
      <t xml:space="preserve"> Click '+' above to enter ADDITIONAL WATER PROJECTS</t>
    </r>
  </si>
  <si>
    <r>
      <t>https://www.icc.illinois.gov/emdb/ucdb/search</t>
    </r>
    <r>
      <rPr>
        <sz val="11"/>
        <rFont val="Calibri"/>
        <family val="2"/>
        <scheme val="minor"/>
      </rPr>
      <t xml:space="preserve"> by choosing Authority Type, ‘Energy Efficiency Installers.’</t>
    </r>
  </si>
  <si>
    <t>min IPLV EER</t>
  </si>
  <si>
    <t>Percent Improvement Over LPD Baseline (Based IECC 2018/ASHRAE 90.1-2013)</t>
  </si>
  <si>
    <t>1. Enter eligible equipment* (attach a list if additional space is needed)</t>
  </si>
  <si>
    <t>Model</t>
  </si>
  <si>
    <r>
      <t xml:space="preserve">Made in Illinois Bonus </t>
    </r>
    <r>
      <rPr>
        <sz val="11"/>
        <color theme="1"/>
        <rFont val="Calibri"/>
        <family val="2"/>
        <scheme val="minor"/>
      </rPr>
      <t>- place an 'X' in this box and follow the instructions below if claiming this bonus</t>
    </r>
  </si>
  <si>
    <t>2. Provide documentation of eligibility either with an equipment listing from the BuildingClean.org website showing that it was made in Illinois, or an affidavit from the manufacturer attesting that the equipment meets the criteria.</t>
  </si>
  <si>
    <r>
      <rPr>
        <sz val="10"/>
        <color theme="1"/>
        <rFont val="Calibri"/>
        <family val="2"/>
        <scheme val="minor"/>
      </rPr>
      <t>*</t>
    </r>
    <r>
      <rPr>
        <sz val="9"/>
        <color theme="1"/>
        <rFont val="Calibri"/>
        <family val="2"/>
        <scheme val="minor"/>
      </rPr>
      <t xml:space="preserve"> Equipment must be at least 50% manufactured and/or assembled in Illinois (exclusive of packaging and installation); product installation is not considered assembly. The project must be completed between Jan. 1 and Sept. 30, 2022. More info: </t>
    </r>
  </si>
  <si>
    <t>https://amerenillinoissavings.com/illinois/</t>
  </si>
  <si>
    <t>http://www.buildingclean.org/</t>
  </si>
  <si>
    <t>Private University</t>
  </si>
  <si>
    <t>State University</t>
  </si>
  <si>
    <t>isCustomPublic</t>
  </si>
  <si>
    <r>
      <t xml:space="preserve">Final application paperwork is due within 30 days of project completion </t>
    </r>
    <r>
      <rPr>
        <b/>
        <sz val="10"/>
        <color theme="1"/>
        <rFont val="Calibri"/>
        <family val="2"/>
        <scheme val="minor"/>
      </rPr>
      <t>or by December 31, 2023, whichever comes first</t>
    </r>
  </si>
  <si>
    <t>Estimated project completion date is by December 31, 2023 (please contact a program representative if the project is estimated to extend into the next program year).</t>
  </si>
  <si>
    <r>
      <rPr>
        <b/>
        <u/>
        <sz val="11"/>
        <color theme="1"/>
        <rFont val="Calibri"/>
        <family val="2"/>
        <scheme val="minor"/>
      </rPr>
      <t>INSTRUCTIONS:</t>
    </r>
    <r>
      <rPr>
        <sz val="11"/>
        <color theme="1"/>
        <rFont val="Calibri"/>
        <family val="2"/>
        <scheme val="minor"/>
      </rPr>
      <t xml:space="preserve"> Enter the Manufacturer, Part No. and Watts/fixture for all proposed lighting. Fixture locations and quantities will be entered in Step 2. </t>
    </r>
    <r>
      <rPr>
        <b/>
        <i/>
        <sz val="11"/>
        <color rgb="FFC00000"/>
        <rFont val="Calibri"/>
        <family val="2"/>
        <scheme val="minor"/>
      </rPr>
      <t>Please attach a cut sheet for each fixture.</t>
    </r>
    <r>
      <rPr>
        <sz val="11"/>
        <color theme="1"/>
        <rFont val="Calibri"/>
        <family val="2"/>
        <scheme val="minor"/>
      </rPr>
      <t xml:space="preserve">
</t>
    </r>
    <r>
      <rPr>
        <b/>
        <u/>
        <sz val="11"/>
        <color theme="1"/>
        <rFont val="Calibri"/>
        <family val="2"/>
        <scheme val="minor"/>
      </rPr>
      <t>NOTES AND ELIGIBILITY:</t>
    </r>
    <r>
      <rPr>
        <sz val="11"/>
        <color theme="1"/>
        <rFont val="Calibri"/>
        <family val="2"/>
        <scheme val="minor"/>
      </rPr>
      <t xml:space="preserve">
     • Incentives for new construction lighting are capped at $150k
     • Exit signs should not be included
     • Agricultural grow lighting is not included in this application and should be processed on the Standard Lighting application or Amplify Online tool: </t>
    </r>
    <r>
      <rPr>
        <sz val="11"/>
        <color rgb="FF0070C0"/>
        <rFont val="Calibri"/>
        <family val="2"/>
        <scheme val="minor"/>
      </rPr>
      <t>https://www.amplifyincentives.com/amil/</t>
    </r>
    <r>
      <rPr>
        <sz val="11"/>
        <color theme="1"/>
        <rFont val="Calibri"/>
        <family val="2"/>
        <scheme val="minor"/>
      </rPr>
      <t xml:space="preserve">
     • See ASHRAE reference on the right for other fixture types that should not be included
     • Eligibility for incentives is limited to products listed on the DesignLights Consortium (DLC) or Energy Star product lists, however ALL lighting fixtures (excepting those listed on the ASHRAE table to the right) must be included on this tab and the Lighting Inventory on the 'Lighting-Step2' tab, in order to determine % energy savings above code.
     • Screw base and pin base (except GX24 and G24q) lamps, LED tube lamps using T12, T10, T8 or T5 sockets, and recessed can fixtures or trim kits are not eligible for incentives through this application, but may be purchased at a discount from a local distributor under the Instant Incentives offering. However, ALL lighting fixtures (excepting those listed on the ASHRAE table to the right) must be included on this application in order to determine % energy savings above code.</t>
    </r>
  </si>
  <si>
    <r>
      <t xml:space="preserve">Point of purchase incentives for air conditioning and air‐source heat pumps are available through the Instant Incentives offering: </t>
    </r>
    <r>
      <rPr>
        <sz val="10"/>
        <color rgb="FF0070C0"/>
        <rFont val="Calibri"/>
        <family val="2"/>
        <scheme val="minor"/>
      </rPr>
      <t>https://amerenillinoissavings.com/instant</t>
    </r>
  </si>
  <si>
    <t>HVAC - Cooling</t>
  </si>
  <si>
    <t>Hospitality</t>
  </si>
  <si>
    <t>Refrigeration</t>
  </si>
  <si>
    <t>https://www.amplifyincentives.com/amil/</t>
  </si>
  <si>
    <t>Graduated Tier Limit</t>
  </si>
  <si>
    <t>Graduated Tier Rate</t>
  </si>
  <si>
    <t>IECC 2021 Building Area Method LPD</t>
  </si>
  <si>
    <t>IECC 2021 LPD (W/ft2)</t>
  </si>
  <si>
    <t>Per ASHRAE 90.1: The following lighting equipment and applications shall not be considered when determining the interior lighting power allowance nor shall the the wattage for such lighting be included in the installed interior lighting power unless there is no general lighting in the space (that is, the lighting listed below serves as the only illumination of the space) and is controlled by an independent control device.
1. Display or accent lighting that is an essential element for the function performed in galleries, museums, and monuments
2. Lighting that is integral to equipment or instrumentation and is installed by its manufacturer
3. Lighting specifically designed for use only during medical or dental procedures and lighting integral to medical equipment
4. Lighting integral to both open and glass-enclosed refrigerator and freezer cases
5. Lighting integral to food warming and food preparation equipment
6. Lighting specifically designed for the life support of non-human life forms
7. Lighting in retail display windows, provided the display area is enclosed by ceiliing-height partitions
8. Lighting in interior spaces that have been specifically designated as a registered interior historic landmark
9. Lighting that is an integral part of advertising or directional signage
10. Lighting that is for sale of lighting educational demonstration systems
11. Lighting for theatrical purposes, including performance, stage, and film and video production
12. Lighting for television broadcasting in sporting activity areas
13. Casino gaming areas
14. Furniture-mounted supplemental task lighting that is controlled by automatic shutoff
15. Mirror lighting in dressing rooms and accent lighting in religious pulpit and choir areas
16. Parking garage transition lighting – lighting for covered vehicle entrance and exits from buildings and parking structures, with each transition zone not exceeding a depth of 66 ft inside the structure and a width of 50 ft.</t>
  </si>
  <si>
    <r>
      <rPr>
        <b/>
        <u/>
        <sz val="11"/>
        <color theme="1"/>
        <rFont val="Calibri"/>
        <family val="2"/>
        <scheme val="minor"/>
      </rPr>
      <t>INSTRUCTIONS:</t>
    </r>
    <r>
      <rPr>
        <sz val="11"/>
        <color theme="1"/>
        <rFont val="Calibri"/>
        <family val="2"/>
        <scheme val="minor"/>
      </rPr>
      <t xml:space="preserve"> Before attempting this step, please complete Lighting - Step 1 
   1) Select the Lighting Zone
   2) Note the project square footage comparison. Upon completion of Lighting Inventory, the square footage from the Project
        Info tab should match the square footage from the Lighting Inventory
   3) Document all proposed interior and exterior lighting on the Lighting Inventory. (See ASHRAE reference on the right for fixture
        types that may be excluded.) Use one line for each fixture type in a room or area.
        • For interior fixtures, enter the area in square feet; for exterior fixtures, enter the appropriate value for the unit shown
        • When multiple fixtures are used in a single space, enter the square footage or appropriate exterior value ONLY ONCE per location
</t>
    </r>
    <r>
      <rPr>
        <b/>
        <u/>
        <sz val="11"/>
        <color theme="1"/>
        <rFont val="Calibri"/>
        <family val="2"/>
        <scheme val="minor"/>
      </rPr>
      <t>NOTES:</t>
    </r>
    <r>
      <rPr>
        <sz val="11"/>
        <color theme="1"/>
        <rFont val="Calibri"/>
        <family val="2"/>
        <scheme val="minor"/>
      </rPr>
      <t xml:space="preserve">
    • Consistent with ASHRAE 90.1, an incentive penalty is applied for failing to implement a control strategy in interior spaces.
    • Note that exterior dimming to at least 50% between the hours of midnight and 6 a.m. is required, with few exceptions. 
    • See incentive eligibility requirements on the 'Lighting-Step1' tab, however, ALL lighting fixtures (excepting those listed on the 
      ASHRAE table to the right) must be included on the Lighting Inventory below in order to determine % energy savings above code.
    • Networked Lighting Controls must enable three or more control strategies.
    • Agricultural grow lighting is not included in this application and should be processed on the Standard Lighting application or Amplify
       Online tool: </t>
    </r>
    <r>
      <rPr>
        <sz val="11"/>
        <color rgb="FF0070C0"/>
        <rFont val="Calibri"/>
        <family val="2"/>
        <scheme val="minor"/>
      </rPr>
      <t>https://www.amplifyincentives.com/amil/</t>
    </r>
    <r>
      <rPr>
        <sz val="11"/>
        <rFont val="Calibri"/>
        <family val="2"/>
        <scheme val="minor"/>
      </rPr>
      <t xml:space="preserve">
    • Submitting lighting and site plans will expedite approval</t>
    </r>
    <r>
      <rPr>
        <sz val="11"/>
        <color theme="1"/>
        <rFont val="Calibri"/>
        <family val="2"/>
        <scheme val="minor"/>
      </rPr>
      <t xml:space="preserve">
    • Minimum lighting power densities (LPD) are based on IECC 2021</t>
    </r>
  </si>
  <si>
    <t xml:space="preserve"> 1. Interactive Factors per 2024 IL TRM version 12 Vol 2, LPDs per IECC 2021</t>
  </si>
  <si>
    <t>7. Building Façade LPDs taken from IECC 2022</t>
  </si>
  <si>
    <t>New Construction Application 2024 Rev01</t>
  </si>
  <si>
    <t>300 Liberty Street, 6th Floor, Peoria, IL 61602</t>
  </si>
  <si>
    <t>i) Standard, Custom, Retro-Commissioning, and Streetlighting Applications: Electric incentives over $500,000 are likely to be reduced from the full incentive rate based on available program budget. Gas incentives are capped at $250,000 per project.</t>
  </si>
  <si>
    <t>Project estimated completion date (ECD)</t>
  </si>
  <si>
    <t>2024</t>
  </si>
  <si>
    <t>2025</t>
  </si>
  <si>
    <t>2026</t>
  </si>
  <si>
    <t>(mm/dd)</t>
  </si>
  <si>
    <t>(select a quarter)</t>
  </si>
  <si>
    <t xml:space="preserve">              Q1           Q2             Q3           Q4</t>
  </si>
  <si>
    <t>Justification for ECD (lead times, capital process, scheduling, etc.)</t>
  </si>
  <si>
    <t>300 Liberty St, 6th Floor, Peoria, IL 61602</t>
  </si>
  <si>
    <t>http://www.amerenillinoissavings.com/wp-content/uploads/2023/05/Custom-HVAC-Calculator-2023-1.xlsx</t>
  </si>
  <si>
    <t>Payback Period Before Incentive in years (must be between one month and twelve years)</t>
  </si>
  <si>
    <t>Payback Period After Incentive in years (Incentive will be capped at one month)</t>
  </si>
  <si>
    <r>
      <rPr>
        <b/>
        <u/>
        <sz val="11"/>
        <color theme="1"/>
        <rFont val="Calibri"/>
        <family val="2"/>
        <scheme val="minor"/>
      </rPr>
      <t>INSTRUCTIONS:</t>
    </r>
    <r>
      <rPr>
        <sz val="11"/>
        <color theme="1"/>
        <rFont val="Calibri"/>
        <family val="2"/>
        <scheme val="minor"/>
      </rPr>
      <t xml:space="preserve"> 
     • </t>
    </r>
    <r>
      <rPr>
        <b/>
        <sz val="11"/>
        <color rgb="FFFF0000"/>
        <rFont val="Calibri"/>
        <family val="2"/>
        <scheme val="minor"/>
      </rPr>
      <t>STOP</t>
    </r>
    <r>
      <rPr>
        <sz val="11"/>
        <color theme="1"/>
        <rFont val="Calibri"/>
        <family val="2"/>
        <scheme val="minor"/>
      </rPr>
      <t xml:space="preserve"> - Before filling in this tab, complete the 'PROJECT INFO' tab. Some incentive amounts will not calculate
        correctly until a 'Sector' is selected in the 'Facility/Project Description' section of that tab.
     • Enter required information into the </t>
    </r>
    <r>
      <rPr>
        <sz val="11"/>
        <rFont val="Calibri"/>
        <family val="2"/>
        <scheme val="minor"/>
      </rPr>
      <t>yellow</t>
    </r>
    <r>
      <rPr>
        <sz val="11"/>
        <color theme="1"/>
        <rFont val="Calibri"/>
        <family val="2"/>
        <scheme val="minor"/>
      </rPr>
      <t xml:space="preserve"> cells, left to right. White cells will automatically populate.
     • Review the 'SUMMARY' tab to verify that the incentive amount is as expected.
     • </t>
    </r>
    <r>
      <rPr>
        <b/>
        <sz val="11"/>
        <color theme="1"/>
        <rFont val="Calibri"/>
        <family val="2"/>
        <scheme val="minor"/>
      </rPr>
      <t>REQUIRED DOCUMENTATION:</t>
    </r>
    <r>
      <rPr>
        <sz val="11"/>
        <color theme="1"/>
        <rFont val="Calibri"/>
        <family val="2"/>
        <scheme val="minor"/>
      </rPr>
      <t xml:space="preserve"> in addition to the documents listed in the 'AGREEMENT' tab, include the following:
            - </t>
    </r>
    <r>
      <rPr>
        <b/>
        <u/>
        <sz val="11"/>
        <color theme="1"/>
        <rFont val="Calibri"/>
        <family val="2"/>
        <scheme val="minor"/>
      </rPr>
      <t>Calculations</t>
    </r>
    <r>
      <rPr>
        <sz val="11"/>
        <color theme="1"/>
        <rFont val="Calibri"/>
        <family val="2"/>
        <scheme val="minor"/>
      </rPr>
      <t xml:space="preserve"> documenting the predicted energy consumption of the baseline usage and proposed design
               using appropriate analytical tools and clearly stated assumptions. Calculations may be performed manually,
               but spreadsheet or computer modeling analysis is preferred.
            -  </t>
    </r>
    <r>
      <rPr>
        <b/>
        <u/>
        <sz val="11"/>
        <color theme="1"/>
        <rFont val="Calibri"/>
        <family val="2"/>
        <scheme val="minor"/>
      </rPr>
      <t>Assumptions,</t>
    </r>
    <r>
      <rPr>
        <sz val="11"/>
        <color theme="1"/>
        <rFont val="Calibri"/>
        <family val="2"/>
        <scheme val="minor"/>
      </rPr>
      <t xml:space="preserve"> such as operating hours, baseline and proposed equipment, and operational details, must 
               be presented.
            -  List of </t>
    </r>
    <r>
      <rPr>
        <b/>
        <u/>
        <sz val="11"/>
        <color theme="1"/>
        <rFont val="Calibri"/>
        <family val="2"/>
        <scheme val="minor"/>
      </rPr>
      <t>system requirements</t>
    </r>
    <r>
      <rPr>
        <sz val="11"/>
        <color theme="1"/>
        <rFont val="Calibri"/>
        <family val="2"/>
        <scheme val="minor"/>
      </rPr>
      <t xml:space="preserve"> (load, pressure, flows, etc.) and control strategies
            -  For HVAC energy models, submit files exported to EnergyPlus (.IDF) or DOE2 (.INP) file formats. In cases 
               where files cannot be exported to these formats (e.g. Trane 700, Carrier HAP) submit files in their native format.
            -  Carrier HAP and Trane HVAC models are acceptable for most HVAC upgrades. More complex projects may 
               benefit from different software, additional calculations, or energy metering.</t>
    </r>
  </si>
  <si>
    <r>
      <rPr>
        <b/>
        <u/>
        <sz val="11"/>
        <color theme="1"/>
        <rFont val="Calibri"/>
        <family val="2"/>
        <scheme val="minor"/>
      </rPr>
      <t>INSTRUCTIONS:</t>
    </r>
    <r>
      <rPr>
        <sz val="11"/>
        <color theme="1"/>
        <rFont val="Calibri"/>
        <family val="2"/>
        <scheme val="minor"/>
      </rPr>
      <t xml:space="preserve"> 
     • </t>
    </r>
    <r>
      <rPr>
        <b/>
        <sz val="11"/>
        <color rgb="FFFF0000"/>
        <rFont val="Calibri"/>
        <family val="2"/>
        <scheme val="minor"/>
      </rPr>
      <t>STOP</t>
    </r>
    <r>
      <rPr>
        <sz val="11"/>
        <color theme="1"/>
        <rFont val="Calibri"/>
        <family val="2"/>
        <scheme val="minor"/>
      </rPr>
      <t xml:space="preserve"> - Before filling in this tab, complete the 'PROJECT INFO' tab. Some incentive amounts will not calculate correctly 
        until a 'Sector' is selected in the 'Facility/Project Description' section of that tab.
     • Enter required information into the </t>
    </r>
    <r>
      <rPr>
        <sz val="11"/>
        <rFont val="Calibri"/>
        <family val="2"/>
        <scheme val="minor"/>
      </rPr>
      <t>yellow</t>
    </r>
    <r>
      <rPr>
        <sz val="11"/>
        <color theme="1"/>
        <rFont val="Calibri"/>
        <family val="2"/>
        <scheme val="minor"/>
      </rPr>
      <t xml:space="preserve"> cells, left to right. White cells will automatically populate.
     • Review the 'SUMMARY' tab to verify that the incentive amount is as expected.
     • </t>
    </r>
    <r>
      <rPr>
        <b/>
        <sz val="11"/>
        <color theme="1"/>
        <rFont val="Calibri"/>
        <family val="2"/>
        <scheme val="minor"/>
      </rPr>
      <t>REQUIRED DOCUMENTATION:</t>
    </r>
    <r>
      <rPr>
        <sz val="11"/>
        <color theme="1"/>
        <rFont val="Calibri"/>
        <family val="2"/>
        <scheme val="minor"/>
      </rPr>
      <t xml:space="preserve"> in addition to the documents listed in the 'AGREEMENT' tab, include the following:
            - </t>
    </r>
    <r>
      <rPr>
        <b/>
        <u/>
        <sz val="11"/>
        <color theme="1"/>
        <rFont val="Calibri"/>
        <family val="2"/>
        <scheme val="minor"/>
      </rPr>
      <t>Calculations</t>
    </r>
    <r>
      <rPr>
        <sz val="11"/>
        <color theme="1"/>
        <rFont val="Calibri"/>
        <family val="2"/>
        <scheme val="minor"/>
      </rPr>
      <t xml:space="preserve"> documenting the predicted energy consumption of the baseline usage and proposed design
               using appropriate analytical tools and clearly stated assumptions. Calculations may be performed manually,
               but spreadsheet or computer modeling analysis is preferred.
            -  </t>
    </r>
    <r>
      <rPr>
        <b/>
        <u/>
        <sz val="11"/>
        <color theme="1"/>
        <rFont val="Calibri"/>
        <family val="2"/>
        <scheme val="minor"/>
      </rPr>
      <t>Assumptions,</t>
    </r>
    <r>
      <rPr>
        <sz val="11"/>
        <color theme="1"/>
        <rFont val="Calibri"/>
        <family val="2"/>
        <scheme val="minor"/>
      </rPr>
      <t xml:space="preserve"> such as operating hours, baseline and proposed equipment, and operational details, must 
               be presented.
            -  List of </t>
    </r>
    <r>
      <rPr>
        <b/>
        <u/>
        <sz val="11"/>
        <color theme="1"/>
        <rFont val="Calibri"/>
        <family val="2"/>
        <scheme val="minor"/>
      </rPr>
      <t>system requirements</t>
    </r>
    <r>
      <rPr>
        <sz val="11"/>
        <color theme="1"/>
        <rFont val="Calibri"/>
        <family val="2"/>
        <scheme val="minor"/>
      </rPr>
      <t xml:space="preserve"> (load, pressure, flows, etc.) and control strategies
            -  For HVAC energy models, submit files exported to EnergyPlus (.IDF) or DOE2 (.INP) file formats. In cases 
               where files cannot be exported to these formats (e.g. Trane 700, Carrier HAP) submit files in their native format.
            -  Carrier HAP and Trane HVAC models are acceptable for most HVAC upgrades. More complex projects may 
               benefit from different software, additional calculations, or energy metering.</t>
    </r>
  </si>
  <si>
    <t>1,700 kBtuh input and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</si>
</sst>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lt;=9999999]###\-####;\(###\)\ ###\-####"/>
    <numFmt numFmtId="165" formatCode="_(* #,##0_);_(* \(#,##0\);_(* &quot;-&quot;??_);_(@_)"/>
    <numFmt numFmtId="166" formatCode="_(* #,##0.000_);_(* \(#,##0.000\);_(* &quot;-&quot;??_);_(@_)"/>
    <numFmt numFmtId="167" formatCode="&quot;$&quot;#,##0.00"/>
    <numFmt numFmtId="168" formatCode="&quot;$&quot;#,##0"/>
    <numFmt numFmtId="169" formatCode="General_)"/>
    <numFmt numFmtId="170" formatCode="0.0%"/>
    <numFmt numFmtId="171" formatCode="0.000"/>
    <numFmt numFmtId="172" formatCode="_(* #,##0.0_);_(* \(#,##0.0\);_(* &quot;-&quot;??_);_(@_)"/>
    <numFmt numFmtId="173" formatCode="#,##0.0"/>
    <numFmt numFmtId="174" formatCode="_([$$-409]* #,##0.00_);_([$$-409]* \(#,##0.00\);_([$$-409]* &quot;-&quot;??_);_(@_)"/>
  </numFmts>
  <fonts count="71"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10"/>
      <name val="Calibri"/>
      <family val="2"/>
    </font>
    <font>
      <b/>
      <sz val="10"/>
      <name val="Calibri"/>
      <family val="2"/>
    </font>
    <font>
      <b/>
      <sz val="10"/>
      <color theme="1"/>
      <name val="Calibri"/>
      <family val="2"/>
      <scheme val="minor"/>
    </font>
    <font>
      <b/>
      <sz val="12"/>
      <color theme="1"/>
      <name val="Calibri"/>
      <family val="2"/>
      <scheme val="minor"/>
    </font>
    <font>
      <i/>
      <sz val="10"/>
      <color theme="1"/>
      <name val="Calibri"/>
      <family val="2"/>
      <scheme val="minor"/>
    </font>
    <font>
      <u/>
      <sz val="11"/>
      <color theme="10"/>
      <name val="Calibri"/>
      <family val="2"/>
      <scheme val="minor"/>
    </font>
    <font>
      <u/>
      <sz val="10"/>
      <color theme="10"/>
      <name val="Calibri"/>
      <family val="2"/>
      <scheme val="minor"/>
    </font>
    <font>
      <b/>
      <sz val="14"/>
      <color theme="1"/>
      <name val="Calibri"/>
      <family val="2"/>
      <scheme val="minor"/>
    </font>
    <font>
      <i/>
      <u/>
      <sz val="10"/>
      <color theme="10"/>
      <name val="Calibri"/>
      <family val="2"/>
      <scheme val="minor"/>
    </font>
    <font>
      <i/>
      <sz val="10"/>
      <name val="Calibri"/>
      <family val="2"/>
    </font>
    <font>
      <i/>
      <sz val="11"/>
      <color theme="1"/>
      <name val="Calibri"/>
      <family val="2"/>
      <scheme val="minor"/>
    </font>
    <font>
      <b/>
      <sz val="16"/>
      <color theme="1"/>
      <name val="Calibri"/>
      <family val="2"/>
      <scheme val="minor"/>
    </font>
    <font>
      <i/>
      <sz val="10"/>
      <color rgb="FFFF0000"/>
      <name val="Calibri"/>
      <family val="2"/>
      <scheme val="minor"/>
    </font>
    <font>
      <sz val="11"/>
      <name val="Calibri"/>
      <family val="2"/>
    </font>
    <font>
      <sz val="11"/>
      <name val="Calibri"/>
      <family val="2"/>
      <scheme val="minor"/>
    </font>
    <font>
      <b/>
      <sz val="12"/>
      <name val="Calibri"/>
      <family val="2"/>
      <scheme val="minor"/>
    </font>
    <font>
      <sz val="11"/>
      <color theme="4" tint="-0.499984740745262"/>
      <name val="Calibri"/>
      <family val="2"/>
      <scheme val="minor"/>
    </font>
    <font>
      <b/>
      <sz val="16"/>
      <color theme="4" tint="-0.499984740745262"/>
      <name val="Calibri"/>
      <family val="2"/>
      <scheme val="minor"/>
    </font>
    <font>
      <b/>
      <sz val="12"/>
      <color theme="4" tint="-0.499984740745262"/>
      <name val="Calibri"/>
      <family val="2"/>
      <scheme val="minor"/>
    </font>
    <font>
      <b/>
      <i/>
      <sz val="11"/>
      <color theme="0"/>
      <name val="Calibri"/>
      <family val="2"/>
      <scheme val="minor"/>
    </font>
    <font>
      <b/>
      <u/>
      <sz val="11"/>
      <color theme="1"/>
      <name val="Calibri"/>
      <family val="2"/>
      <scheme val="minor"/>
    </font>
    <font>
      <b/>
      <i/>
      <sz val="11"/>
      <color rgb="FFC00000"/>
      <name val="Calibri"/>
      <family val="2"/>
      <scheme val="minor"/>
    </font>
    <font>
      <i/>
      <sz val="10"/>
      <name val="Calibri"/>
      <family val="2"/>
      <scheme val="minor"/>
    </font>
    <font>
      <sz val="10"/>
      <name val="Calibri"/>
      <family val="2"/>
      <scheme val="minor"/>
    </font>
    <font>
      <b/>
      <sz val="13"/>
      <color theme="1"/>
      <name val="Calibri"/>
      <family val="2"/>
      <scheme val="minor"/>
    </font>
    <font>
      <sz val="12"/>
      <name val="Arial"/>
      <family val="2"/>
    </font>
    <font>
      <sz val="11"/>
      <color theme="1"/>
      <name val="Calibri"/>
      <family val="2"/>
    </font>
    <font>
      <b/>
      <sz val="12"/>
      <name val="Arial"/>
      <family val="2"/>
    </font>
    <font>
      <i/>
      <sz val="12"/>
      <name val="Arial"/>
      <family val="2"/>
    </font>
    <font>
      <sz val="11"/>
      <color rgb="FF000000"/>
      <name val="Calibri"/>
      <family val="2"/>
    </font>
    <font>
      <sz val="11"/>
      <color rgb="FF1F497D"/>
      <name val="Calibri"/>
      <family val="2"/>
    </font>
    <font>
      <sz val="11"/>
      <color indexed="8"/>
      <name val="Calibri"/>
      <family val="2"/>
      <scheme val="minor"/>
    </font>
    <font>
      <sz val="8"/>
      <color rgb="FF000000"/>
      <name val="Segoe UI"/>
      <family val="2"/>
    </font>
    <font>
      <b/>
      <sz val="12"/>
      <color indexed="8"/>
      <name val="Arial"/>
      <family val="2"/>
    </font>
    <font>
      <sz val="12"/>
      <name val="Calibri"/>
      <family val="2"/>
      <scheme val="minor"/>
    </font>
    <font>
      <sz val="12"/>
      <color theme="1"/>
      <name val="Calibri"/>
      <family val="2"/>
      <scheme val="minor"/>
    </font>
    <font>
      <b/>
      <sz val="11"/>
      <color theme="0"/>
      <name val="Calibri"/>
      <family val="2"/>
      <scheme val="minor"/>
    </font>
    <font>
      <sz val="11"/>
      <color theme="0"/>
      <name val="Calibri"/>
      <family val="2"/>
      <scheme val="minor"/>
    </font>
    <font>
      <sz val="10"/>
      <name val="Arial"/>
      <family val="2"/>
    </font>
    <font>
      <b/>
      <sz val="11"/>
      <color theme="1"/>
      <name val="Calibri"/>
      <family val="2"/>
    </font>
    <font>
      <b/>
      <sz val="10"/>
      <color theme="0" tint="-0.249977111117893"/>
      <name val="Calibri"/>
      <family val="2"/>
      <scheme val="minor"/>
    </font>
    <font>
      <sz val="10"/>
      <color theme="1"/>
      <name val="Calibri"/>
      <family val="2"/>
    </font>
    <font>
      <b/>
      <i/>
      <sz val="11"/>
      <color rgb="FF0070C0"/>
      <name val="Calibri"/>
      <family val="2"/>
      <scheme val="minor"/>
    </font>
    <font>
      <b/>
      <sz val="11"/>
      <color rgb="FFFF0000"/>
      <name val="Calibri"/>
      <family val="2"/>
      <scheme val="minor"/>
    </font>
    <font>
      <b/>
      <vertAlign val="superscript"/>
      <sz val="10"/>
      <color theme="1"/>
      <name val="Calibri"/>
      <family val="2"/>
      <scheme val="minor"/>
    </font>
    <font>
      <i/>
      <sz val="10"/>
      <color theme="1" tint="0.499984740745262"/>
      <name val="Calibri"/>
      <family val="2"/>
      <scheme val="minor"/>
    </font>
    <font>
      <b/>
      <sz val="11"/>
      <name val="Calibri"/>
      <family val="2"/>
    </font>
    <font>
      <b/>
      <sz val="12"/>
      <color rgb="FFFF0000"/>
      <name val="Calibri"/>
      <family val="2"/>
      <scheme val="minor"/>
    </font>
    <font>
      <i/>
      <u/>
      <sz val="11"/>
      <color theme="10"/>
      <name val="Calibri"/>
      <family val="2"/>
      <scheme val="minor"/>
    </font>
    <font>
      <b/>
      <sz val="11"/>
      <color theme="1"/>
      <name val="Arial"/>
      <family val="2"/>
    </font>
    <font>
      <u/>
      <sz val="11"/>
      <color theme="1"/>
      <name val="Calibri"/>
      <family val="2"/>
      <scheme val="minor"/>
    </font>
    <font>
      <b/>
      <u/>
      <sz val="10"/>
      <color theme="1"/>
      <name val="Calibri"/>
      <family val="2"/>
      <scheme val="minor"/>
    </font>
    <font>
      <b/>
      <sz val="10"/>
      <color rgb="FFFF0000"/>
      <name val="Calibri"/>
      <family val="2"/>
      <scheme val="minor"/>
    </font>
    <font>
      <u/>
      <sz val="10"/>
      <color theme="1"/>
      <name val="Calibri"/>
      <family val="2"/>
      <scheme val="minor"/>
    </font>
    <font>
      <u/>
      <sz val="11"/>
      <color theme="4" tint="-0.249977111117893"/>
      <name val="Calibri"/>
      <family val="2"/>
      <scheme val="minor"/>
    </font>
    <font>
      <sz val="10"/>
      <color theme="10"/>
      <name val="Calibri"/>
      <family val="2"/>
      <scheme val="minor"/>
    </font>
    <font>
      <i/>
      <sz val="9"/>
      <color theme="1"/>
      <name val="Calibri"/>
      <family val="2"/>
      <scheme val="minor"/>
    </font>
    <font>
      <sz val="9"/>
      <color theme="0" tint="-0.34998626667073579"/>
      <name val="Calibri"/>
      <family val="2"/>
      <scheme val="minor"/>
    </font>
    <font>
      <b/>
      <i/>
      <sz val="12"/>
      <color rgb="FF0070C0"/>
      <name val="Calibri"/>
      <family val="2"/>
      <scheme val="minor"/>
    </font>
    <font>
      <b/>
      <sz val="12"/>
      <color rgb="FF0070C0"/>
      <name val="Calibri"/>
      <family val="2"/>
    </font>
    <font>
      <sz val="10"/>
      <color rgb="FFFF0000"/>
      <name val="Calibri"/>
      <family val="2"/>
      <scheme val="minor"/>
    </font>
    <font>
      <sz val="9"/>
      <color theme="1"/>
      <name val="Calibri"/>
      <family val="2"/>
      <scheme val="minor"/>
    </font>
    <font>
      <b/>
      <i/>
      <sz val="10"/>
      <color theme="1"/>
      <name val="Calibri"/>
      <family val="2"/>
      <scheme val="minor"/>
    </font>
    <font>
      <u/>
      <sz val="9"/>
      <color theme="10"/>
      <name val="Calibri"/>
      <family val="2"/>
      <scheme val="minor"/>
    </font>
    <font>
      <sz val="11"/>
      <color rgb="FF0070C0"/>
      <name val="Calibri"/>
      <family val="2"/>
      <scheme val="minor"/>
    </font>
    <font>
      <sz val="10"/>
      <color rgb="FF0070C0"/>
      <name val="Calibri"/>
      <family val="2"/>
      <scheme val="minor"/>
    </font>
    <font>
      <sz val="11"/>
      <color theme="1"/>
      <name val="Haettenschweiler"/>
      <family val="2"/>
    </font>
  </fonts>
  <fills count="16">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CC"/>
      </patternFill>
    </fill>
    <fill>
      <patternFill patternType="solid">
        <fgColor theme="4" tint="0.79998168889431442"/>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FFCC"/>
        <bgColor indexed="64"/>
      </patternFill>
    </fill>
    <fill>
      <patternFill patternType="solid">
        <fgColor theme="4"/>
        <bgColor theme="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s>
  <borders count="65">
    <border>
      <left/>
      <right/>
      <top/>
      <bottom/>
      <diagonal/>
    </border>
    <border>
      <left style="thin">
        <color auto="1"/>
      </left>
      <right style="thin">
        <color auto="1"/>
      </right>
      <top/>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medium">
        <color rgb="FFFF0000"/>
      </top>
      <bottom style="medium">
        <color rgb="FFFF000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diagonal/>
    </border>
    <border>
      <left style="thick">
        <color indexed="64"/>
      </left>
      <right style="thin">
        <color indexed="64"/>
      </right>
      <top style="thin">
        <color indexed="64"/>
      </top>
      <bottom/>
      <diagonal/>
    </border>
    <border>
      <left style="medium">
        <color indexed="64"/>
      </left>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ck">
        <color rgb="FFFF0000"/>
      </left>
      <right style="thick">
        <color rgb="FFFF0000"/>
      </right>
      <top style="thick">
        <color rgb="FFFF0000"/>
      </top>
      <bottom style="thick">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2" fillId="0" borderId="0"/>
  </cellStyleXfs>
  <cellXfs count="801">
    <xf numFmtId="0" fontId="0" fillId="0" borderId="0" xfId="0"/>
    <xf numFmtId="0" fontId="0" fillId="0" borderId="0" xfId="0" applyNumberFormat="1" applyAlignment="1"/>
    <xf numFmtId="0" fontId="0" fillId="0" borderId="0" xfId="0" applyAlignment="1">
      <alignment wrapText="1"/>
    </xf>
    <xf numFmtId="0" fontId="0" fillId="0" borderId="0" xfId="0" applyAlignment="1">
      <alignment horizontal="center"/>
    </xf>
    <xf numFmtId="0" fontId="6" fillId="3" borderId="3" xfId="0" applyFont="1" applyFill="1" applyBorder="1" applyAlignment="1">
      <alignment horizontal="center" vertical="center" wrapText="1"/>
    </xf>
    <xf numFmtId="49" fontId="7" fillId="0" borderId="0" xfId="0" applyNumberFormat="1" applyFont="1" applyAlignment="1">
      <alignment horizontal="left"/>
    </xf>
    <xf numFmtId="0" fontId="3" fillId="0" borderId="0" xfId="0" applyFont="1"/>
    <xf numFmtId="165" fontId="3" fillId="0" borderId="0" xfId="1" applyNumberFormat="1" applyFont="1"/>
    <xf numFmtId="166" fontId="3" fillId="0" borderId="0" xfId="1" applyNumberFormat="1" applyFont="1"/>
    <xf numFmtId="0" fontId="3" fillId="0" borderId="0" xfId="0" applyFont="1" applyAlignment="1">
      <alignment horizontal="center"/>
    </xf>
    <xf numFmtId="0" fontId="8" fillId="0" borderId="3" xfId="0" applyFont="1" applyBorder="1" applyAlignment="1">
      <alignment horizontal="center" vertical="center" wrapText="1"/>
    </xf>
    <xf numFmtId="0" fontId="0" fillId="0" borderId="0" xfId="0" applyFill="1"/>
    <xf numFmtId="167" fontId="3" fillId="0" borderId="3" xfId="2" applyNumberFormat="1" applyFont="1" applyBorder="1" applyAlignment="1">
      <alignment horizontal="center" vertical="center"/>
    </xf>
    <xf numFmtId="168" fontId="3" fillId="0" borderId="0" xfId="0" applyNumberFormat="1" applyFont="1"/>
    <xf numFmtId="168" fontId="3"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0" fillId="0" borderId="0" xfId="0" applyBorder="1"/>
    <xf numFmtId="167" fontId="0" fillId="0" borderId="0" xfId="2" quotePrefix="1" applyNumberFormat="1" applyFont="1" applyBorder="1"/>
    <xf numFmtId="0" fontId="0" fillId="0" borderId="0" xfId="0" quotePrefix="1" applyFill="1" applyBorder="1"/>
    <xf numFmtId="44" fontId="0" fillId="0" borderId="4" xfId="2" quotePrefix="1" applyFont="1" applyFill="1" applyBorder="1"/>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Fill="1" applyBorder="1"/>
    <xf numFmtId="0" fontId="0" fillId="2" borderId="5" xfId="0" applyFill="1" applyBorder="1"/>
    <xf numFmtId="0" fontId="0" fillId="2" borderId="6" xfId="0" applyFill="1" applyBorder="1"/>
    <xf numFmtId="0" fontId="0" fillId="2" borderId="7" xfId="0" applyFill="1" applyBorder="1"/>
    <xf numFmtId="0" fontId="0" fillId="0" borderId="8" xfId="0" applyFill="1" applyBorder="1"/>
    <xf numFmtId="0" fontId="1" fillId="0" borderId="0" xfId="0" applyFont="1" applyFill="1" applyBorder="1" applyAlignment="1">
      <alignment horizontal="center" vertical="center"/>
    </xf>
    <xf numFmtId="0" fontId="0" fillId="0" borderId="0" xfId="0" applyFill="1" applyBorder="1"/>
    <xf numFmtId="0" fontId="0" fillId="0" borderId="9" xfId="0" applyFill="1" applyBorder="1"/>
    <xf numFmtId="0" fontId="0" fillId="0" borderId="8" xfId="0" applyBorder="1"/>
    <xf numFmtId="0" fontId="0" fillId="0" borderId="9" xfId="0" applyBorder="1"/>
    <xf numFmtId="0" fontId="0" fillId="0" borderId="10" xfId="0" applyBorder="1"/>
    <xf numFmtId="0" fontId="1" fillId="0" borderId="11" xfId="0" applyFont="1" applyBorder="1" applyAlignment="1">
      <alignment horizontal="center" vertical="center"/>
    </xf>
    <xf numFmtId="0" fontId="0" fillId="0" borderId="11" xfId="0" applyBorder="1"/>
    <xf numFmtId="167" fontId="0" fillId="0" borderId="11" xfId="2" quotePrefix="1" applyNumberFormat="1" applyFont="1" applyBorder="1"/>
    <xf numFmtId="0" fontId="0" fillId="0" borderId="11" xfId="0" quotePrefix="1" applyFill="1" applyBorder="1"/>
    <xf numFmtId="0" fontId="0" fillId="0" borderId="12" xfId="0" applyBorder="1"/>
    <xf numFmtId="0" fontId="3" fillId="0" borderId="0" xfId="0" applyFont="1" applyBorder="1"/>
    <xf numFmtId="49" fontId="1" fillId="2" borderId="6" xfId="0" applyNumberFormat="1" applyFont="1" applyFill="1" applyBorder="1"/>
    <xf numFmtId="49"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vertical="center" wrapText="1"/>
    </xf>
    <xf numFmtId="0" fontId="3" fillId="0" borderId="0" xfId="0" applyFont="1" applyBorder="1" applyAlignment="1">
      <alignment horizontal="center" vertical="center" wrapText="1"/>
    </xf>
    <xf numFmtId="165" fontId="3" fillId="0" borderId="0" xfId="1" applyNumberFormat="1" applyFont="1" applyBorder="1"/>
    <xf numFmtId="1" fontId="3" fillId="0" borderId="0" xfId="1" applyNumberFormat="1" applyFont="1" applyBorder="1"/>
    <xf numFmtId="0" fontId="3" fillId="0" borderId="0" xfId="0" applyFont="1" applyBorder="1" applyAlignment="1">
      <alignment horizontal="center"/>
    </xf>
    <xf numFmtId="9" fontId="3" fillId="0" borderId="0" xfId="0" applyNumberFormat="1" applyFont="1" applyBorder="1" applyAlignment="1">
      <alignment horizontal="center"/>
    </xf>
    <xf numFmtId="0" fontId="6" fillId="3" borderId="13" xfId="0" applyFont="1" applyFill="1" applyBorder="1" applyAlignment="1">
      <alignment horizontal="center" vertical="center" wrapText="1"/>
    </xf>
    <xf numFmtId="49" fontId="3" fillId="6" borderId="9" xfId="0" applyNumberFormat="1" applyFont="1" applyFill="1" applyBorder="1" applyAlignment="1">
      <alignment wrapText="1"/>
    </xf>
    <xf numFmtId="0" fontId="6" fillId="3" borderId="6" xfId="0" applyFont="1" applyFill="1" applyBorder="1" applyAlignment="1">
      <alignment vertical="center" wrapText="1"/>
    </xf>
    <xf numFmtId="0" fontId="8" fillId="3" borderId="6" xfId="0" applyFont="1" applyFill="1" applyBorder="1" applyAlignment="1">
      <alignment vertical="center" wrapText="1"/>
    </xf>
    <xf numFmtId="49" fontId="1" fillId="2" borderId="6" xfId="0" quotePrefix="1" applyNumberFormat="1" applyFont="1" applyFill="1" applyBorder="1"/>
    <xf numFmtId="9" fontId="3" fillId="0" borderId="0" xfId="3" applyFont="1"/>
    <xf numFmtId="1" fontId="3" fillId="0" borderId="0" xfId="1" applyNumberFormat="1" applyFont="1"/>
    <xf numFmtId="1" fontId="3" fillId="0" borderId="0" xfId="0" applyNumberFormat="1" applyFont="1" applyBorder="1" applyAlignment="1">
      <alignment horizontal="center"/>
    </xf>
    <xf numFmtId="0" fontId="11" fillId="0" borderId="0" xfId="0" applyFont="1" applyFill="1" applyAlignment="1">
      <alignment vertical="center" textRotation="90"/>
    </xf>
    <xf numFmtId="49" fontId="3" fillId="0" borderId="0" xfId="0" applyNumberFormat="1" applyFont="1" applyFill="1" applyBorder="1" applyAlignment="1"/>
    <xf numFmtId="49" fontId="4" fillId="0" borderId="0" xfId="0" applyNumberFormat="1" applyFont="1" applyFill="1" applyBorder="1" applyAlignment="1">
      <alignment wrapText="1"/>
    </xf>
    <xf numFmtId="49" fontId="13" fillId="0" borderId="0" xfId="0" applyNumberFormat="1" applyFont="1" applyFill="1" applyBorder="1" applyAlignment="1">
      <alignment horizontal="left" wrapText="1"/>
    </xf>
    <xf numFmtId="0" fontId="14" fillId="0" borderId="0" xfId="0" applyNumberFormat="1" applyFont="1" applyAlignment="1"/>
    <xf numFmtId="49" fontId="12" fillId="0" borderId="0" xfId="4" applyNumberFormat="1" applyFont="1" applyFill="1" applyBorder="1" applyAlignment="1">
      <alignment wrapText="1"/>
    </xf>
    <xf numFmtId="49" fontId="13" fillId="0" borderId="0" xfId="0" applyNumberFormat="1" applyFont="1" applyFill="1" applyBorder="1" applyAlignment="1">
      <alignment wrapText="1"/>
    </xf>
    <xf numFmtId="49" fontId="13" fillId="0" borderId="0" xfId="0" applyNumberFormat="1" applyFont="1" applyFill="1" applyBorder="1" applyAlignment="1">
      <alignment horizontal="center" wrapText="1"/>
    </xf>
    <xf numFmtId="49" fontId="4" fillId="0" borderId="0" xfId="0" applyNumberFormat="1" applyFont="1" applyFill="1" applyBorder="1" applyAlignment="1"/>
    <xf numFmtId="49" fontId="0" fillId="0" borderId="0" xfId="0" applyNumberFormat="1" applyFont="1" applyFill="1" applyBorder="1" applyAlignment="1">
      <alignment vertical="center"/>
    </xf>
    <xf numFmtId="49" fontId="14" fillId="0" borderId="0" xfId="0" applyNumberFormat="1" applyFont="1" applyFill="1" applyBorder="1" applyAlignment="1">
      <alignment horizontal="right" vertical="center" wrapText="1"/>
    </xf>
    <xf numFmtId="0" fontId="0" fillId="0" borderId="0" xfId="0" applyNumberFormat="1" applyFont="1" applyAlignment="1">
      <alignment vertical="center"/>
    </xf>
    <xf numFmtId="49" fontId="13" fillId="0" borderId="0" xfId="0" applyNumberFormat="1" applyFont="1" applyFill="1" applyBorder="1" applyAlignment="1"/>
    <xf numFmtId="0" fontId="0" fillId="0" borderId="0" xfId="0" applyFill="1" applyBorder="1" applyAlignment="1">
      <alignment horizontal="left" vertical="top"/>
    </xf>
    <xf numFmtId="0" fontId="0" fillId="0" borderId="0" xfId="0" applyNumberFormat="1"/>
    <xf numFmtId="0" fontId="20" fillId="0" borderId="0" xfId="0" applyFont="1"/>
    <xf numFmtId="49" fontId="0" fillId="0" borderId="0" xfId="0" applyNumberFormat="1" applyFont="1" applyFill="1" applyBorder="1" applyAlignment="1">
      <alignment vertical="center" wrapText="1"/>
    </xf>
    <xf numFmtId="49" fontId="13" fillId="0" borderId="25" xfId="0" applyNumberFormat="1" applyFont="1" applyBorder="1" applyAlignment="1"/>
    <xf numFmtId="49" fontId="8" fillId="0" borderId="0" xfId="0" applyNumberFormat="1" applyFont="1" applyFill="1" applyBorder="1" applyAlignment="1">
      <alignment horizontal="left"/>
    </xf>
    <xf numFmtId="167" fontId="0" fillId="0" borderId="0" xfId="0" applyNumberFormat="1" applyFont="1" applyFill="1" applyBorder="1" applyAlignment="1">
      <alignment vertical="center"/>
    </xf>
    <xf numFmtId="49" fontId="13" fillId="0" borderId="26" xfId="0" applyNumberFormat="1" applyFont="1" applyBorder="1" applyAlignment="1"/>
    <xf numFmtId="49" fontId="3" fillId="0" borderId="9" xfId="0" applyNumberFormat="1" applyFont="1" applyFill="1" applyBorder="1" applyAlignment="1">
      <alignment vertical="center" wrapText="1"/>
    </xf>
    <xf numFmtId="49" fontId="13" fillId="0" borderId="0" xfId="0" applyNumberFormat="1" applyFont="1" applyFill="1" applyAlignment="1"/>
    <xf numFmtId="0" fontId="0" fillId="0" borderId="3" xfId="0" applyBorder="1" applyAlignment="1">
      <alignment horizontal="center"/>
    </xf>
    <xf numFmtId="0" fontId="0" fillId="3" borderId="3" xfId="0" applyFill="1" applyBorder="1"/>
    <xf numFmtId="0" fontId="0" fillId="3" borderId="3" xfId="0" applyFill="1" applyBorder="1" applyAlignment="1">
      <alignment horizontal="center"/>
    </xf>
    <xf numFmtId="0" fontId="1" fillId="0" borderId="0" xfId="0" applyFont="1" applyAlignment="1">
      <alignment horizontal="center"/>
    </xf>
    <xf numFmtId="0" fontId="1" fillId="0" borderId="0" xfId="0" applyFont="1" applyAlignment="1">
      <alignment horizontal="left"/>
    </xf>
    <xf numFmtId="0" fontId="0" fillId="3" borderId="3" xfId="0" applyFill="1" applyBorder="1" applyAlignment="1">
      <alignment horizontal="left"/>
    </xf>
    <xf numFmtId="0" fontId="0" fillId="0" borderId="0" xfId="0" applyAlignment="1">
      <alignment horizontal="left"/>
    </xf>
    <xf numFmtId="0" fontId="8" fillId="0" borderId="0" xfId="0" applyFont="1" applyAlignment="1">
      <alignment horizontal="center"/>
    </xf>
    <xf numFmtId="0" fontId="20" fillId="8" borderId="5" xfId="0" applyFont="1" applyFill="1" applyBorder="1"/>
    <xf numFmtId="0" fontId="20" fillId="8" borderId="6" xfId="0" applyFont="1" applyFill="1" applyBorder="1"/>
    <xf numFmtId="44" fontId="22" fillId="8" borderId="6" xfId="0" applyNumberFormat="1" applyFont="1" applyFill="1" applyBorder="1"/>
    <xf numFmtId="0" fontId="20" fillId="8" borderId="7" xfId="0" applyFont="1" applyFill="1" applyBorder="1"/>
    <xf numFmtId="0" fontId="0" fillId="0" borderId="0" xfId="0" applyAlignment="1">
      <alignment vertical="center"/>
    </xf>
    <xf numFmtId="3" fontId="7" fillId="0" borderId="4" xfId="1" applyNumberFormat="1" applyFont="1" applyFill="1" applyBorder="1" applyAlignment="1">
      <alignment horizontal="center" vertical="center"/>
    </xf>
    <xf numFmtId="0" fontId="28" fillId="0" borderId="0" xfId="0" applyFont="1" applyAlignment="1">
      <alignment horizontal="center" wrapText="1"/>
    </xf>
    <xf numFmtId="0" fontId="0" fillId="3" borderId="32" xfId="0" applyFill="1" applyBorder="1" applyAlignment="1">
      <alignment horizontal="center"/>
    </xf>
    <xf numFmtId="0" fontId="0" fillId="0" borderId="32" xfId="0" applyBorder="1" applyAlignment="1">
      <alignment horizontal="center"/>
    </xf>
    <xf numFmtId="0" fontId="26" fillId="0" borderId="0" xfId="0" applyFont="1" applyBorder="1" applyAlignment="1">
      <alignment horizontal="center" vertical="center"/>
    </xf>
    <xf numFmtId="0" fontId="14" fillId="0" borderId="0" xfId="0" applyFont="1" applyBorder="1" applyAlignment="1">
      <alignment horizontal="left" wrapText="1"/>
    </xf>
    <xf numFmtId="44" fontId="0" fillId="0" borderId="0" xfId="2" quotePrefix="1" applyFont="1" applyFill="1" applyBorder="1"/>
    <xf numFmtId="0" fontId="30" fillId="0" borderId="0" xfId="0" applyFont="1" applyAlignment="1">
      <alignment horizontal="center"/>
    </xf>
    <xf numFmtId="0" fontId="15" fillId="0" borderId="0" xfId="0" applyFont="1" applyAlignment="1">
      <alignment horizontal="center" vertical="center"/>
    </xf>
    <xf numFmtId="169" fontId="31" fillId="0" borderId="0" xfId="0" applyNumberFormat="1" applyFont="1" applyFill="1" applyBorder="1" applyAlignment="1" applyProtection="1">
      <alignment wrapText="1"/>
      <protection hidden="1"/>
    </xf>
    <xf numFmtId="0" fontId="29" fillId="0" borderId="0" xfId="0" applyFont="1" applyFill="1" applyBorder="1" applyAlignment="1" applyProtection="1">
      <alignment horizontal="center" vertical="center" wrapText="1"/>
      <protection hidden="1"/>
    </xf>
    <xf numFmtId="2" fontId="29" fillId="0" borderId="0" xfId="0" applyNumberFormat="1" applyFont="1" applyFill="1" applyBorder="1" applyAlignment="1" applyProtection="1">
      <alignment horizontal="center"/>
      <protection hidden="1"/>
    </xf>
    <xf numFmtId="0" fontId="29" fillId="0" borderId="0" xfId="0" applyFont="1" applyFill="1" applyBorder="1" applyProtection="1">
      <protection hidden="1"/>
    </xf>
    <xf numFmtId="0" fontId="29" fillId="0" borderId="0" xfId="0" applyFont="1" applyFill="1" applyBorder="1" applyAlignment="1" applyProtection="1">
      <alignment horizontal="center"/>
      <protection hidden="1"/>
    </xf>
    <xf numFmtId="0" fontId="32" fillId="0" borderId="0" xfId="0" applyFont="1" applyFill="1" applyBorder="1" applyAlignment="1" applyProtection="1">
      <alignment vertical="center" textRotation="90"/>
      <protection hidden="1"/>
    </xf>
    <xf numFmtId="0" fontId="18" fillId="0" borderId="3" xfId="0" applyFont="1" applyFill="1" applyBorder="1" applyAlignment="1" applyProtection="1">
      <alignment horizontal="center"/>
      <protection hidden="1"/>
    </xf>
    <xf numFmtId="0" fontId="2" fillId="0" borderId="0" xfId="5" applyFont="1" applyFill="1" applyBorder="1" applyAlignment="1" applyProtection="1">
      <alignment horizontal="center"/>
      <protection hidden="1"/>
    </xf>
    <xf numFmtId="169" fontId="29" fillId="0" borderId="0" xfId="0" applyNumberFormat="1" applyFont="1" applyFill="1" applyBorder="1" applyProtection="1">
      <protection hidden="1"/>
    </xf>
    <xf numFmtId="0" fontId="29" fillId="0" borderId="4" xfId="0" applyFont="1" applyFill="1" applyBorder="1" applyAlignment="1" applyProtection="1">
      <alignment horizontal="center" vertical="center"/>
      <protection hidden="1"/>
    </xf>
    <xf numFmtId="2" fontId="18" fillId="0" borderId="29" xfId="0" applyNumberFormat="1" applyFont="1" applyFill="1" applyBorder="1" applyAlignment="1" applyProtection="1">
      <alignment horizontal="center" vertical="center"/>
      <protection hidden="1"/>
    </xf>
    <xf numFmtId="0" fontId="18" fillId="0" borderId="36" xfId="0" applyFont="1" applyFill="1" applyBorder="1" applyAlignment="1" applyProtection="1">
      <alignment horizontal="left" vertical="center"/>
      <protection hidden="1"/>
    </xf>
    <xf numFmtId="2" fontId="18" fillId="0" borderId="37" xfId="0" applyNumberFormat="1" applyFont="1" applyFill="1" applyBorder="1" applyAlignment="1" applyProtection="1">
      <alignment horizontal="center" vertical="center"/>
      <protection hidden="1"/>
    </xf>
    <xf numFmtId="0" fontId="18" fillId="0" borderId="38" xfId="0" applyFont="1" applyFill="1" applyBorder="1" applyAlignment="1" applyProtection="1">
      <alignment horizontal="left" vertical="center"/>
      <protection hidden="1"/>
    </xf>
    <xf numFmtId="2" fontId="18" fillId="0" borderId="39" xfId="0" applyNumberFormat="1" applyFont="1" applyFill="1" applyBorder="1" applyAlignment="1" applyProtection="1">
      <alignment horizontal="center" vertical="center"/>
      <protection hidden="1"/>
    </xf>
    <xf numFmtId="0" fontId="35" fillId="0" borderId="0" xfId="0" applyFont="1" applyFill="1" applyBorder="1" applyAlignment="1" applyProtection="1">
      <alignment horizontal="center"/>
      <protection hidden="1"/>
    </xf>
    <xf numFmtId="0" fontId="18" fillId="0" borderId="39" xfId="0" applyFont="1" applyFill="1" applyBorder="1" applyAlignment="1" applyProtection="1">
      <alignment horizontal="center" vertical="center"/>
      <protection hidden="1"/>
    </xf>
    <xf numFmtId="0" fontId="18" fillId="0" borderId="40" xfId="0" applyFont="1" applyFill="1" applyBorder="1" applyAlignment="1" applyProtection="1">
      <alignment horizontal="left" vertical="center"/>
      <protection hidden="1"/>
    </xf>
    <xf numFmtId="2" fontId="18" fillId="0" borderId="41" xfId="0" applyNumberFormat="1" applyFont="1" applyFill="1" applyBorder="1" applyAlignment="1" applyProtection="1">
      <alignment horizontal="center" vertical="center"/>
      <protection hidden="1"/>
    </xf>
    <xf numFmtId="0" fontId="17" fillId="0" borderId="3" xfId="0" applyFont="1" applyFill="1" applyBorder="1" applyAlignment="1">
      <alignment horizontal="center" vertical="center"/>
    </xf>
    <xf numFmtId="0" fontId="23" fillId="11" borderId="26" xfId="0" applyNumberFormat="1" applyFont="1" applyFill="1" applyBorder="1" applyAlignment="1"/>
    <xf numFmtId="0" fontId="6" fillId="0" borderId="0" xfId="0" applyNumberFormat="1" applyFont="1" applyFill="1" applyBorder="1" applyAlignment="1">
      <alignment horizontal="center" vertical="center" wrapText="1"/>
    </xf>
    <xf numFmtId="0" fontId="0" fillId="0" borderId="0" xfId="0" applyFill="1" applyBorder="1" applyAlignment="1">
      <alignment horizontal="left" vertical="center"/>
    </xf>
    <xf numFmtId="0" fontId="0" fillId="12" borderId="3" xfId="0" applyFill="1" applyBorder="1" applyAlignment="1">
      <alignment horizontal="center" vertical="center" wrapText="1"/>
    </xf>
    <xf numFmtId="0" fontId="4" fillId="0" borderId="0" xfId="0" applyFont="1" applyFill="1" applyBorder="1" applyAlignment="1">
      <alignment horizontal="left" vertical="center" wrapText="1"/>
    </xf>
    <xf numFmtId="0" fontId="0" fillId="12" borderId="0" xfId="0" applyFill="1" applyBorder="1" applyAlignment="1">
      <alignment horizontal="center" vertical="center" wrapText="1"/>
    </xf>
    <xf numFmtId="0" fontId="0" fillId="0" borderId="0" xfId="0" applyBorder="1" applyAlignment="1">
      <alignment vertical="center"/>
    </xf>
    <xf numFmtId="167" fontId="4" fillId="0" borderId="3" xfId="0" applyNumberFormat="1" applyFont="1" applyFill="1" applyBorder="1" applyAlignment="1">
      <alignment horizontal="center" vertical="center" wrapText="1"/>
    </xf>
    <xf numFmtId="0" fontId="3" fillId="0" borderId="0" xfId="0" applyFont="1" applyAlignment="1">
      <alignment horizontal="left"/>
    </xf>
    <xf numFmtId="167" fontId="3" fillId="0" borderId="0" xfId="0" applyNumberFormat="1" applyFont="1"/>
    <xf numFmtId="0" fontId="4" fillId="0" borderId="0" xfId="0" quotePrefix="1" applyNumberFormat="1" applyFont="1" applyFill="1" applyBorder="1" applyAlignment="1">
      <alignment horizontal="right" vertical="center" wrapText="1"/>
    </xf>
    <xf numFmtId="0" fontId="0" fillId="0" borderId="43" xfId="0" applyBorder="1" applyAlignment="1">
      <alignment horizontal="center"/>
    </xf>
    <xf numFmtId="0" fontId="0" fillId="0" borderId="42" xfId="0" applyFill="1" applyBorder="1" applyAlignment="1">
      <alignment horizontal="center"/>
    </xf>
    <xf numFmtId="0" fontId="0" fillId="0" borderId="42" xfId="0" applyFill="1" applyBorder="1" applyAlignment="1">
      <alignment horizontal="left"/>
    </xf>
    <xf numFmtId="0" fontId="0" fillId="0" borderId="42" xfId="0" applyFill="1" applyBorder="1"/>
    <xf numFmtId="49" fontId="0" fillId="10" borderId="18" xfId="0" applyNumberFormat="1" applyFont="1" applyFill="1" applyBorder="1" applyAlignment="1" applyProtection="1">
      <alignment horizontal="left" vertical="center" wrapText="1"/>
      <protection locked="0"/>
    </xf>
    <xf numFmtId="49" fontId="0" fillId="10" borderId="3" xfId="0" applyNumberFormat="1" applyFont="1" applyFill="1" applyBorder="1" applyAlignment="1" applyProtection="1">
      <alignment horizontal="left" vertical="center" wrapText="1"/>
      <protection locked="0"/>
    </xf>
    <xf numFmtId="0" fontId="11" fillId="0" borderId="0" xfId="0" applyNumberFormat="1" applyFont="1" applyFill="1" applyBorder="1" applyAlignment="1">
      <alignment vertical="center"/>
    </xf>
    <xf numFmtId="0" fontId="11" fillId="0" borderId="0" xfId="0" applyNumberFormat="1" applyFont="1" applyFill="1" applyBorder="1" applyAlignment="1">
      <alignment horizontal="left" vertical="top"/>
    </xf>
    <xf numFmtId="0" fontId="0" fillId="0" borderId="0" xfId="0" applyFill="1" applyAlignment="1">
      <alignment horizontal="left"/>
    </xf>
    <xf numFmtId="0" fontId="11" fillId="0" borderId="0" xfId="0" applyNumberFormat="1" applyFont="1" applyFill="1" applyBorder="1" applyAlignment="1">
      <alignment vertical="top"/>
    </xf>
    <xf numFmtId="0" fontId="18" fillId="0" borderId="0" xfId="0" applyFont="1" applyFill="1" applyBorder="1" applyAlignment="1" applyProtection="1">
      <alignment horizontal="left"/>
      <protection hidden="1"/>
    </xf>
    <xf numFmtId="0" fontId="18" fillId="0" borderId="0" xfId="0" applyFont="1" applyFill="1" applyBorder="1" applyAlignment="1" applyProtection="1">
      <alignment horizontal="center"/>
      <protection hidden="1"/>
    </xf>
    <xf numFmtId="2" fontId="18" fillId="0" borderId="0" xfId="0" applyNumberFormat="1" applyFont="1" applyFill="1" applyBorder="1" applyAlignment="1" applyProtection="1">
      <alignment horizontal="center"/>
      <protection hidden="1"/>
    </xf>
    <xf numFmtId="0" fontId="17" fillId="0" borderId="7" xfId="0" applyFont="1" applyFill="1" applyBorder="1" applyAlignment="1">
      <alignment vertical="center"/>
    </xf>
    <xf numFmtId="0" fontId="33" fillId="0" borderId="3" xfId="0" applyFont="1" applyFill="1" applyBorder="1" applyAlignment="1">
      <alignment horizontal="center" vertical="center"/>
    </xf>
    <xf numFmtId="0" fontId="34" fillId="0" borderId="3" xfId="0" applyFont="1" applyFill="1" applyBorder="1" applyAlignment="1">
      <alignment horizontal="center"/>
    </xf>
    <xf numFmtId="0" fontId="28" fillId="0" borderId="0" xfId="0" applyFont="1" applyFill="1" applyAlignment="1">
      <alignment horizontal="center" wrapText="1"/>
    </xf>
    <xf numFmtId="0" fontId="29" fillId="0" borderId="12" xfId="0" applyFont="1" applyFill="1" applyBorder="1" applyProtection="1">
      <protection hidden="1"/>
    </xf>
    <xf numFmtId="0" fontId="19" fillId="0" borderId="13" xfId="0" applyFont="1" applyFill="1" applyBorder="1" applyAlignment="1" applyProtection="1">
      <alignment horizontal="center" vertical="center" wrapText="1"/>
      <protection hidden="1"/>
    </xf>
    <xf numFmtId="0" fontId="18" fillId="0" borderId="17" xfId="0" applyFont="1" applyFill="1" applyBorder="1" applyAlignment="1" applyProtection="1">
      <alignment horizontal="left"/>
      <protection hidden="1"/>
    </xf>
    <xf numFmtId="0" fontId="18" fillId="0" borderId="17" xfId="0" applyFont="1" applyFill="1" applyBorder="1" applyAlignment="1" applyProtection="1">
      <alignment horizontal="center"/>
      <protection hidden="1"/>
    </xf>
    <xf numFmtId="0" fontId="29" fillId="0" borderId="16" xfId="0" applyFont="1" applyFill="1" applyBorder="1" applyProtection="1">
      <protection hidden="1"/>
    </xf>
    <xf numFmtId="169" fontId="29" fillId="0" borderId="15" xfId="0" applyNumberFormat="1" applyFont="1" applyFill="1" applyBorder="1" applyAlignment="1" applyProtection="1">
      <alignment vertical="center" textRotation="90"/>
      <protection hidden="1"/>
    </xf>
    <xf numFmtId="0" fontId="7" fillId="0" borderId="14" xfId="5" applyFont="1" applyFill="1" applyBorder="1" applyAlignment="1" applyProtection="1">
      <alignment horizontal="left"/>
      <protection hidden="1"/>
    </xf>
    <xf numFmtId="0" fontId="29" fillId="0" borderId="9" xfId="0" applyFont="1" applyFill="1" applyBorder="1" applyProtection="1">
      <protection hidden="1"/>
    </xf>
    <xf numFmtId="0" fontId="37" fillId="0" borderId="8" xfId="0" applyFont="1" applyFill="1" applyBorder="1" applyAlignment="1" applyProtection="1">
      <alignment horizontal="left"/>
      <protection hidden="1"/>
    </xf>
    <xf numFmtId="0" fontId="0" fillId="0" borderId="0" xfId="0" applyFill="1" applyAlignment="1">
      <alignment horizontal="center"/>
    </xf>
    <xf numFmtId="0" fontId="29" fillId="0" borderId="15" xfId="0" applyFont="1" applyFill="1" applyBorder="1" applyAlignment="1" applyProtection="1">
      <alignment horizontal="center"/>
      <protection hidden="1"/>
    </xf>
    <xf numFmtId="0" fontId="29" fillId="0" borderId="11" xfId="0" applyFont="1" applyFill="1" applyBorder="1" applyAlignment="1" applyProtection="1">
      <alignment horizontal="center"/>
      <protection hidden="1"/>
    </xf>
    <xf numFmtId="0" fontId="31" fillId="0" borderId="8" xfId="0" applyFont="1" applyFill="1" applyBorder="1" applyAlignment="1" applyProtection="1">
      <alignment horizontal="left"/>
      <protection hidden="1"/>
    </xf>
    <xf numFmtId="0" fontId="29" fillId="0" borderId="8" xfId="0" applyFont="1" applyFill="1" applyBorder="1" applyAlignment="1" applyProtection="1">
      <alignment horizontal="left"/>
      <protection hidden="1"/>
    </xf>
    <xf numFmtId="0" fontId="29" fillId="0" borderId="10" xfId="0" applyFont="1" applyFill="1" applyBorder="1" applyAlignment="1" applyProtection="1">
      <alignment horizontal="left"/>
      <protection hidden="1"/>
    </xf>
    <xf numFmtId="0" fontId="0" fillId="0" borderId="11" xfId="0" applyBorder="1" applyAlignment="1">
      <alignment horizontal="center"/>
    </xf>
    <xf numFmtId="0" fontId="0" fillId="0" borderId="6" xfId="0" applyBorder="1" applyAlignment="1">
      <alignment horizontal="center"/>
    </xf>
    <xf numFmtId="0" fontId="0" fillId="0" borderId="15" xfId="0" applyBorder="1" applyAlignment="1">
      <alignment horizontal="center"/>
    </xf>
    <xf numFmtId="0" fontId="0" fillId="0" borderId="0" xfId="0" applyAlignment="1">
      <alignment horizontal="left" wrapText="1"/>
    </xf>
    <xf numFmtId="0" fontId="0" fillId="0" borderId="32" xfId="0" applyBorder="1" applyAlignment="1">
      <alignment horizontal="center" vertical="center"/>
    </xf>
    <xf numFmtId="0" fontId="0" fillId="0" borderId="7" xfId="0" applyFont="1" applyFill="1" applyBorder="1"/>
    <xf numFmtId="0" fontId="0" fillId="0" borderId="3" xfId="0" applyFont="1" applyFill="1" applyBorder="1" applyAlignment="1">
      <alignment horizontal="center"/>
    </xf>
    <xf numFmtId="0" fontId="0" fillId="0" borderId="5" xfId="0" applyFont="1" applyFill="1" applyBorder="1" applyAlignment="1">
      <alignment horizontal="center"/>
    </xf>
    <xf numFmtId="0" fontId="18" fillId="0" borderId="7" xfId="0" applyFont="1" applyFill="1" applyBorder="1" applyProtection="1">
      <protection hidden="1"/>
    </xf>
    <xf numFmtId="0" fontId="18" fillId="0" borderId="5" xfId="0" applyFont="1" applyFill="1" applyBorder="1" applyAlignment="1" applyProtection="1">
      <alignment horizontal="center"/>
      <protection hidden="1"/>
    </xf>
    <xf numFmtId="0" fontId="18" fillId="9" borderId="5" xfId="0" applyFont="1" applyFill="1" applyBorder="1" applyAlignment="1" applyProtection="1">
      <alignment horizontal="center"/>
      <protection hidden="1"/>
    </xf>
    <xf numFmtId="0" fontId="18" fillId="0" borderId="16" xfId="0" applyFont="1" applyFill="1" applyBorder="1" applyProtection="1">
      <protection hidden="1"/>
    </xf>
    <xf numFmtId="0" fontId="18" fillId="0" borderId="14" xfId="0" applyFont="1" applyFill="1" applyBorder="1" applyAlignment="1" applyProtection="1">
      <alignment horizontal="center"/>
      <protection hidden="1"/>
    </xf>
    <xf numFmtId="0" fontId="38" fillId="0" borderId="3" xfId="0" applyFont="1" applyFill="1" applyBorder="1" applyAlignment="1" applyProtection="1">
      <alignment vertical="center" textRotation="90"/>
      <protection hidden="1"/>
    </xf>
    <xf numFmtId="0" fontId="39" fillId="0" borderId="0" xfId="0" applyFont="1" applyFill="1"/>
    <xf numFmtId="0" fontId="39" fillId="0" borderId="0" xfId="0" applyFont="1" applyFill="1" applyAlignment="1">
      <alignment horizontal="center"/>
    </xf>
    <xf numFmtId="0" fontId="19" fillId="0" borderId="9" xfId="0" applyFont="1" applyFill="1" applyBorder="1" applyAlignment="1" applyProtection="1">
      <protection hidden="1"/>
    </xf>
    <xf numFmtId="0" fontId="19" fillId="0" borderId="13" xfId="0" applyFont="1" applyFill="1" applyBorder="1" applyAlignment="1" applyProtection="1">
      <alignment horizontal="center"/>
      <protection hidden="1"/>
    </xf>
    <xf numFmtId="0" fontId="19" fillId="0" borderId="1" xfId="0" applyFont="1" applyFill="1" applyBorder="1" applyAlignment="1" applyProtection="1">
      <alignment horizontal="center" wrapText="1"/>
      <protection hidden="1"/>
    </xf>
    <xf numFmtId="0" fontId="19" fillId="0" borderId="1" xfId="0" applyFont="1" applyFill="1" applyBorder="1" applyAlignment="1" applyProtection="1">
      <alignment horizontal="center"/>
      <protection hidden="1"/>
    </xf>
    <xf numFmtId="0" fontId="19" fillId="0" borderId="8" xfId="0" applyFont="1" applyFill="1" applyBorder="1" applyAlignment="1" applyProtection="1">
      <alignment horizontal="center"/>
      <protection hidden="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0" borderId="14" xfId="0" applyBorder="1"/>
    <xf numFmtId="0" fontId="0" fillId="0" borderId="16" xfId="0" applyBorder="1"/>
    <xf numFmtId="0" fontId="0" fillId="3" borderId="3" xfId="0" applyFill="1" applyBorder="1" applyAlignment="1">
      <alignment horizontal="left" vertical="center"/>
    </xf>
    <xf numFmtId="0" fontId="0" fillId="3" borderId="3" xfId="0" applyFill="1" applyBorder="1" applyAlignment="1">
      <alignment horizontal="center" vertical="center"/>
    </xf>
    <xf numFmtId="3" fontId="0" fillId="3" borderId="5" xfId="0" applyNumberFormat="1" applyFill="1" applyBorder="1" applyAlignment="1">
      <alignment vertical="center"/>
    </xf>
    <xf numFmtId="0" fontId="0" fillId="3" borderId="35" xfId="0" applyFill="1" applyBorder="1" applyAlignment="1">
      <alignment horizontal="center" vertical="center" wrapText="1"/>
    </xf>
    <xf numFmtId="0" fontId="0" fillId="3" borderId="32" xfId="0" applyFill="1" applyBorder="1" applyAlignment="1">
      <alignment vertical="center"/>
    </xf>
    <xf numFmtId="0" fontId="0" fillId="3" borderId="33" xfId="0" applyFill="1" applyBorder="1" applyAlignment="1">
      <alignment vertical="center"/>
    </xf>
    <xf numFmtId="0" fontId="0" fillId="3" borderId="3" xfId="0" applyFill="1" applyBorder="1" applyAlignment="1">
      <alignment vertical="center"/>
    </xf>
    <xf numFmtId="49" fontId="18" fillId="0" borderId="3" xfId="0" applyNumberFormat="1" applyFont="1" applyFill="1" applyBorder="1" applyAlignment="1">
      <alignment horizontal="left" vertical="center" wrapText="1"/>
    </xf>
    <xf numFmtId="3" fontId="0" fillId="0" borderId="45" xfId="0" applyNumberFormat="1" applyFill="1" applyBorder="1"/>
    <xf numFmtId="0" fontId="0" fillId="0" borderId="46" xfId="0" applyFill="1" applyBorder="1" applyAlignment="1">
      <alignment horizontal="left" wrapText="1"/>
    </xf>
    <xf numFmtId="0" fontId="0" fillId="0" borderId="46" xfId="0" applyBorder="1" applyAlignment="1">
      <alignment horizontal="left" wrapText="1"/>
    </xf>
    <xf numFmtId="49" fontId="0" fillId="0" borderId="0" xfId="0" applyNumberFormat="1" applyAlignment="1">
      <alignment horizontal="center"/>
    </xf>
    <xf numFmtId="0" fontId="3" fillId="0" borderId="0" xfId="0" applyFont="1" applyFill="1" applyBorder="1" applyAlignment="1">
      <alignment horizontal="left" vertical="top" wrapText="1"/>
    </xf>
    <xf numFmtId="0" fontId="0" fillId="0" borderId="0" xfId="0" applyBorder="1" applyAlignment="1">
      <alignment horizontal="center"/>
    </xf>
    <xf numFmtId="0" fontId="0" fillId="0" borderId="5" xfId="0" applyFill="1" applyBorder="1" applyAlignment="1">
      <alignment horizontal="left"/>
    </xf>
    <xf numFmtId="0" fontId="0" fillId="0" borderId="14" xfId="0" applyFill="1" applyBorder="1" applyAlignment="1">
      <alignment horizontal="left"/>
    </xf>
    <xf numFmtId="0" fontId="19" fillId="0" borderId="8" xfId="0" applyFont="1" applyFill="1" applyBorder="1" applyAlignment="1" applyProtection="1">
      <alignment horizontal="center" vertical="center" wrapText="1"/>
      <protection hidden="1"/>
    </xf>
    <xf numFmtId="0" fontId="17" fillId="0" borderId="8" xfId="0" applyFont="1" applyFill="1" applyBorder="1" applyAlignment="1">
      <alignment horizontal="center" vertical="center"/>
    </xf>
    <xf numFmtId="2" fontId="18" fillId="0" borderId="8" xfId="0" applyNumberFormat="1" applyFont="1" applyFill="1" applyBorder="1" applyAlignment="1" applyProtection="1">
      <alignment horizontal="center"/>
      <protection hidden="1"/>
    </xf>
    <xf numFmtId="0" fontId="18" fillId="0" borderId="11" xfId="0" applyFont="1" applyBorder="1" applyAlignment="1">
      <alignment horizontal="center"/>
    </xf>
    <xf numFmtId="0" fontId="0" fillId="0" borderId="0" xfId="0" applyFill="1" applyBorder="1" applyAlignment="1">
      <alignment horizontal="left"/>
    </xf>
    <xf numFmtId="0" fontId="0" fillId="0" borderId="7" xfId="0" applyFill="1" applyBorder="1" applyAlignment="1">
      <alignment horizontal="left"/>
    </xf>
    <xf numFmtId="0" fontId="17" fillId="0" borderId="7" xfId="0" applyFont="1" applyFill="1" applyBorder="1" applyAlignment="1">
      <alignment horizontal="left" vertical="center"/>
    </xf>
    <xf numFmtId="0" fontId="0" fillId="0" borderId="16" xfId="0" applyFill="1" applyBorder="1" applyAlignment="1">
      <alignment horizontal="left"/>
    </xf>
    <xf numFmtId="0" fontId="41" fillId="0" borderId="11" xfId="0" applyFont="1" applyFill="1" applyBorder="1" applyAlignment="1" applyProtection="1">
      <alignment horizontal="center" vertical="center" wrapText="1"/>
      <protection hidden="1"/>
    </xf>
    <xf numFmtId="0" fontId="0" fillId="0" borderId="32" xfId="0" applyFill="1" applyBorder="1" applyAlignment="1">
      <alignment vertical="center"/>
    </xf>
    <xf numFmtId="0" fontId="0" fillId="0" borderId="3" xfId="0" applyFill="1" applyBorder="1" applyAlignment="1">
      <alignment vertical="center"/>
    </xf>
    <xf numFmtId="171" fontId="0" fillId="0" borderId="3" xfId="0" applyNumberFormat="1" applyFill="1" applyBorder="1" applyAlignment="1">
      <alignment vertical="center"/>
    </xf>
    <xf numFmtId="172" fontId="0" fillId="0" borderId="3" xfId="1" applyNumberFormat="1" applyFont="1" applyFill="1" applyBorder="1" applyAlignment="1">
      <alignment vertical="center"/>
    </xf>
    <xf numFmtId="172" fontId="0" fillId="0" borderId="0" xfId="1" applyNumberFormat="1" applyFont="1" applyAlignment="1">
      <alignment horizontal="center"/>
    </xf>
    <xf numFmtId="172" fontId="0" fillId="0" borderId="0" xfId="1" applyNumberFormat="1" applyFont="1" applyFill="1" applyBorder="1" applyAlignment="1">
      <alignment horizontal="center" vertical="center"/>
    </xf>
    <xf numFmtId="0" fontId="0" fillId="0" borderId="12" xfId="0" applyFill="1" applyBorder="1"/>
    <xf numFmtId="0" fontId="40" fillId="0" borderId="13" xfId="0" applyFont="1" applyFill="1" applyBorder="1" applyAlignment="1">
      <alignment horizontal="center"/>
    </xf>
    <xf numFmtId="0" fontId="40" fillId="0" borderId="10" xfId="0" applyFont="1" applyFill="1" applyBorder="1" applyAlignment="1">
      <alignment horizontal="center"/>
    </xf>
    <xf numFmtId="0" fontId="0" fillId="0" borderId="7" xfId="0" applyFill="1" applyBorder="1" applyAlignment="1">
      <alignment horizontal="center"/>
    </xf>
    <xf numFmtId="0" fontId="0" fillId="0" borderId="3" xfId="0" applyFont="1" applyFill="1" applyBorder="1"/>
    <xf numFmtId="10" fontId="0" fillId="0" borderId="3" xfId="3" applyNumberFormat="1" applyFont="1" applyFill="1" applyBorder="1"/>
    <xf numFmtId="167" fontId="0" fillId="0" borderId="5" xfId="2" applyNumberFormat="1" applyFont="1" applyFill="1" applyBorder="1"/>
    <xf numFmtId="10" fontId="0" fillId="0" borderId="3" xfId="0" applyNumberFormat="1" applyFont="1" applyFill="1" applyBorder="1"/>
    <xf numFmtId="0" fontId="0" fillId="0" borderId="16" xfId="0" applyFill="1" applyBorder="1" applyAlignment="1">
      <alignment horizontal="center"/>
    </xf>
    <xf numFmtId="10" fontId="0" fillId="0" borderId="17" xfId="0" applyNumberFormat="1" applyFont="1" applyFill="1" applyBorder="1"/>
    <xf numFmtId="10" fontId="0" fillId="0" borderId="17" xfId="3" applyNumberFormat="1" applyFont="1" applyFill="1" applyBorder="1"/>
    <xf numFmtId="0" fontId="0" fillId="0" borderId="7" xfId="0" applyBorder="1"/>
    <xf numFmtId="167" fontId="0" fillId="0" borderId="5" xfId="2" applyNumberFormat="1" applyFont="1" applyBorder="1"/>
    <xf numFmtId="167" fontId="0" fillId="0" borderId="5" xfId="0" applyNumberFormat="1" applyBorder="1"/>
    <xf numFmtId="0" fontId="0" fillId="0" borderId="0" xfId="0" applyFill="1" applyBorder="1" applyAlignment="1">
      <alignment horizontal="right"/>
    </xf>
    <xf numFmtId="0" fontId="42" fillId="7" borderId="4" xfId="0" applyNumberFormat="1" applyFont="1" applyFill="1" applyBorder="1" applyAlignment="1" applyProtection="1">
      <alignment horizontal="right" wrapText="1"/>
      <protection hidden="1"/>
    </xf>
    <xf numFmtId="171" fontId="0" fillId="3" borderId="33" xfId="0" applyNumberFormat="1" applyFill="1" applyBorder="1" applyAlignment="1">
      <alignment vertical="center"/>
    </xf>
    <xf numFmtId="0" fontId="0" fillId="3" borderId="33" xfId="0" applyFill="1" applyBorder="1" applyAlignment="1">
      <alignment horizontal="center" vertical="center"/>
    </xf>
    <xf numFmtId="0" fontId="1" fillId="6" borderId="32" xfId="0" applyFont="1" applyFill="1" applyBorder="1" applyAlignment="1">
      <alignment horizontal="center" vertical="center" wrapText="1"/>
    </xf>
    <xf numFmtId="0" fontId="1" fillId="6" borderId="3" xfId="0" applyFont="1" applyFill="1" applyBorder="1" applyAlignment="1">
      <alignment horizontal="left" vertical="center" wrapText="1"/>
    </xf>
    <xf numFmtId="0" fontId="1" fillId="6" borderId="3"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1" fillId="0" borderId="0" xfId="0" applyFont="1" applyAlignment="1">
      <alignment horizontal="center" vertical="center" wrapText="1"/>
    </xf>
    <xf numFmtId="0" fontId="0" fillId="0" borderId="12" xfId="0" applyBorder="1" applyAlignment="1">
      <alignment horizontal="center" vertical="center" wrapText="1"/>
    </xf>
    <xf numFmtId="0" fontId="0" fillId="0" borderId="10" xfId="0" applyFill="1" applyBorder="1" applyAlignment="1">
      <alignment vertical="center"/>
    </xf>
    <xf numFmtId="0" fontId="1" fillId="0" borderId="0" xfId="0" applyFont="1" applyFill="1" applyAlignment="1">
      <alignment horizontal="center" vertical="center" wrapText="1"/>
    </xf>
    <xf numFmtId="0" fontId="29" fillId="0" borderId="0" xfId="0" applyFont="1" applyFill="1" applyBorder="1" applyAlignment="1" applyProtection="1">
      <alignment horizontal="center" vertical="center"/>
      <protection hidden="1"/>
    </xf>
    <xf numFmtId="0" fontId="29" fillId="0" borderId="0" xfId="0" applyFont="1" applyFill="1" applyBorder="1" applyAlignment="1" applyProtection="1">
      <alignment vertical="center"/>
      <protection hidden="1"/>
    </xf>
    <xf numFmtId="0" fontId="1" fillId="3" borderId="51" xfId="0" applyFont="1" applyFill="1" applyBorder="1" applyAlignment="1">
      <alignment horizontal="center" vertical="center" wrapText="1"/>
    </xf>
    <xf numFmtId="0" fontId="6" fillId="3" borderId="2" xfId="0" applyFont="1" applyFill="1" applyBorder="1" applyAlignment="1">
      <alignment horizontal="center" wrapText="1"/>
    </xf>
    <xf numFmtId="0" fontId="0" fillId="0" borderId="42" xfId="0" applyFill="1" applyBorder="1" applyAlignment="1">
      <alignment horizontal="right"/>
    </xf>
    <xf numFmtId="0" fontId="0" fillId="0" borderId="0" xfId="0" applyAlignment="1">
      <alignment horizontal="right"/>
    </xf>
    <xf numFmtId="172" fontId="0" fillId="0" borderId="48" xfId="1" applyNumberFormat="1" applyFont="1" applyFill="1" applyBorder="1" applyAlignment="1">
      <alignment vertical="center"/>
    </xf>
    <xf numFmtId="43" fontId="0" fillId="0" borderId="13" xfId="1" applyFont="1" applyFill="1" applyBorder="1" applyAlignment="1">
      <alignment horizontal="right"/>
    </xf>
    <xf numFmtId="43" fontId="0" fillId="0" borderId="3" xfId="1" applyFont="1" applyBorder="1"/>
    <xf numFmtId="43" fontId="0" fillId="0" borderId="3" xfId="1" applyFont="1" applyFill="1" applyBorder="1" applyAlignment="1"/>
    <xf numFmtId="43" fontId="0" fillId="0" borderId="3" xfId="1" applyFont="1" applyBorder="1" applyAlignment="1"/>
    <xf numFmtId="168" fontId="0" fillId="0" borderId="0" xfId="2" applyNumberFormat="1" applyFont="1" applyBorder="1" applyAlignment="1">
      <alignment horizontal="right"/>
    </xf>
    <xf numFmtId="0" fontId="3" fillId="7" borderId="14" xfId="0" applyFont="1" applyFill="1" applyBorder="1" applyAlignment="1" applyProtection="1">
      <alignment horizontal="distributed" wrapText="1"/>
      <protection hidden="1"/>
    </xf>
    <xf numFmtId="0" fontId="3" fillId="7" borderId="8" xfId="0" applyFont="1" applyFill="1" applyBorder="1" applyAlignment="1" applyProtection="1">
      <alignment horizontal="right" wrapText="1"/>
      <protection hidden="1"/>
    </xf>
    <xf numFmtId="0" fontId="3" fillId="7" borderId="10" xfId="0" applyFont="1" applyFill="1" applyBorder="1" applyAlignment="1" applyProtection="1">
      <alignment horizontal="right" wrapText="1"/>
      <protection hidden="1"/>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6" fillId="3"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46" fillId="0" borderId="0" xfId="0" applyFont="1"/>
    <xf numFmtId="0" fontId="3" fillId="0" borderId="6" xfId="0" applyFont="1" applyBorder="1" applyAlignment="1">
      <alignment horizontal="center" vertical="center" wrapText="1"/>
    </xf>
    <xf numFmtId="44" fontId="0" fillId="0" borderId="4" xfId="2" quotePrefix="1" applyNumberFormat="1" applyFont="1" applyFill="1" applyBorder="1"/>
    <xf numFmtId="0" fontId="6" fillId="3" borderId="3" xfId="0" applyFont="1" applyFill="1" applyBorder="1" applyAlignment="1">
      <alignment vertical="center" wrapText="1"/>
    </xf>
    <xf numFmtId="0" fontId="1" fillId="2" borderId="6" xfId="0" quotePrefix="1" applyNumberFormat="1" applyFont="1" applyFill="1" applyBorder="1"/>
    <xf numFmtId="44" fontId="0" fillId="0" borderId="4" xfId="2" quotePrefix="1" applyFont="1" applyFill="1" applyBorder="1" applyAlignment="1">
      <alignment horizontal="center"/>
    </xf>
    <xf numFmtId="0" fontId="1" fillId="0" borderId="0" xfId="0" applyFont="1" applyBorder="1"/>
    <xf numFmtId="0" fontId="0" fillId="3" borderId="3" xfId="1" applyNumberFormat="1" applyFont="1" applyFill="1" applyBorder="1" applyAlignment="1">
      <alignment vertical="center"/>
    </xf>
    <xf numFmtId="0" fontId="7" fillId="0" borderId="0" xfId="0" applyFont="1"/>
    <xf numFmtId="0" fontId="0" fillId="0" borderId="0" xfId="0" applyBorder="1" applyAlignment="1">
      <alignment horizontal="left"/>
    </xf>
    <xf numFmtId="0" fontId="3" fillId="0" borderId="0" xfId="0" applyFont="1" applyAlignment="1">
      <alignment vertical="center" wrapText="1"/>
    </xf>
    <xf numFmtId="0" fontId="3" fillId="0" borderId="0" xfId="1" applyNumberFormat="1" applyFont="1"/>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49" fontId="13" fillId="0" borderId="0" xfId="0" applyNumberFormat="1" applyFont="1" applyFill="1" applyBorder="1" applyAlignment="1">
      <alignment wrapText="1"/>
    </xf>
    <xf numFmtId="0" fontId="0" fillId="2" borderId="6" xfId="0" applyFill="1" applyBorder="1" applyAlignment="1">
      <alignment horizontal="left"/>
    </xf>
    <xf numFmtId="0" fontId="0" fillId="0" borderId="11" xfId="0" applyBorder="1" applyAlignment="1">
      <alignment horizontal="left"/>
    </xf>
    <xf numFmtId="0" fontId="20" fillId="0" borderId="0" xfId="0" applyNumberFormat="1" applyFont="1"/>
    <xf numFmtId="0" fontId="1" fillId="3" borderId="4" xfId="0" applyFont="1" applyFill="1" applyBorder="1" applyAlignment="1">
      <alignment horizontal="center" vertical="center"/>
    </xf>
    <xf numFmtId="167" fontId="0" fillId="0" borderId="0" xfId="2" applyNumberFormat="1" applyFont="1" applyBorder="1" applyAlignment="1">
      <alignment horizontal="right"/>
    </xf>
    <xf numFmtId="0" fontId="14" fillId="0" borderId="0" xfId="0" applyFont="1" applyBorder="1" applyAlignment="1">
      <alignment horizontal="right" wrapText="1"/>
    </xf>
    <xf numFmtId="0" fontId="0" fillId="2" borderId="6" xfId="0" applyFill="1" applyBorder="1" applyAlignment="1">
      <alignment horizontal="right"/>
    </xf>
    <xf numFmtId="167" fontId="0" fillId="0" borderId="11" xfId="2" applyNumberFormat="1" applyFont="1" applyBorder="1" applyAlignment="1">
      <alignment horizontal="right"/>
    </xf>
    <xf numFmtId="43" fontId="3" fillId="0" borderId="0" xfId="1" applyNumberFormat="1" applyFont="1"/>
    <xf numFmtId="0" fontId="14" fillId="0" borderId="0" xfId="0" applyFont="1"/>
    <xf numFmtId="0" fontId="0" fillId="0" borderId="0" xfId="0" applyFont="1"/>
    <xf numFmtId="0" fontId="49" fillId="0" borderId="0" xfId="0" quotePrefix="1" applyFont="1"/>
    <xf numFmtId="167" fontId="3" fillId="0" borderId="3" xfId="0" applyNumberFormat="1" applyFont="1" applyBorder="1" applyAlignment="1">
      <alignment horizontal="center" vertical="center"/>
    </xf>
    <xf numFmtId="0" fontId="3" fillId="0" borderId="0" xfId="0" applyFont="1" applyFill="1" applyBorder="1"/>
    <xf numFmtId="167" fontId="17" fillId="0" borderId="3" xfId="0" applyNumberFormat="1" applyFont="1" applyFill="1" applyBorder="1" applyAlignment="1">
      <alignment horizontal="center" vertical="center" wrapText="1"/>
    </xf>
    <xf numFmtId="9" fontId="0" fillId="0" borderId="3" xfId="3" applyFont="1" applyFill="1" applyBorder="1" applyAlignment="1">
      <alignment horizontal="center" vertical="center" wrapText="1"/>
    </xf>
    <xf numFmtId="167" fontId="17" fillId="12" borderId="3" xfId="2" applyNumberFormat="1" applyFont="1" applyFill="1" applyBorder="1" applyAlignment="1">
      <alignment horizontal="center" vertical="center" wrapText="1"/>
    </xf>
    <xf numFmtId="167" fontId="17" fillId="0" borderId="3" xfId="2" applyNumberFormat="1" applyFont="1" applyFill="1" applyBorder="1" applyAlignment="1">
      <alignment horizontal="center" vertical="center" wrapText="1"/>
    </xf>
    <xf numFmtId="167" fontId="1" fillId="0" borderId="3" xfId="3" applyNumberFormat="1" applyFont="1" applyFill="1" applyBorder="1" applyAlignment="1">
      <alignment horizontal="center" vertical="center" wrapText="1"/>
    </xf>
    <xf numFmtId="4" fontId="0" fillId="12" borderId="3" xfId="1" applyNumberFormat="1" applyFont="1" applyFill="1" applyBorder="1" applyAlignment="1">
      <alignment horizontal="center" vertical="center" wrapText="1"/>
    </xf>
    <xf numFmtId="173" fontId="0" fillId="12" borderId="3" xfId="1" applyNumberFormat="1" applyFont="1" applyFill="1" applyBorder="1" applyAlignment="1">
      <alignment horizontal="center" vertical="center" wrapText="1"/>
    </xf>
    <xf numFmtId="0" fontId="0" fillId="10" borderId="3" xfId="0" applyFill="1" applyBorder="1" applyAlignment="1" applyProtection="1">
      <alignment horizontal="center" vertical="center"/>
      <protection locked="0"/>
    </xf>
    <xf numFmtId="0" fontId="0" fillId="10" borderId="3" xfId="1" applyNumberFormat="1" applyFont="1" applyFill="1" applyBorder="1" applyAlignment="1" applyProtection="1">
      <alignment horizontal="center" vertical="center"/>
      <protection locked="0"/>
    </xf>
    <xf numFmtId="0" fontId="0" fillId="10" borderId="3" xfId="0" applyFill="1" applyBorder="1" applyAlignment="1" applyProtection="1">
      <alignment horizontal="left" vertical="center"/>
      <protection locked="0"/>
    </xf>
    <xf numFmtId="0" fontId="51" fillId="0" borderId="0" xfId="0" applyNumberFormat="1" applyFont="1" applyAlignment="1">
      <alignment horizontal="right"/>
    </xf>
    <xf numFmtId="0" fontId="0" fillId="10" borderId="3" xfId="0" applyFill="1" applyBorder="1" applyAlignment="1" applyProtection="1">
      <alignment horizontal="left"/>
      <protection locked="0"/>
    </xf>
    <xf numFmtId="0" fontId="0" fillId="10" borderId="3" xfId="0" applyFill="1" applyBorder="1" applyProtection="1">
      <protection locked="0"/>
    </xf>
    <xf numFmtId="0" fontId="0" fillId="10" borderId="3" xfId="0" applyFill="1" applyBorder="1" applyAlignment="1" applyProtection="1">
      <alignment horizontal="center"/>
      <protection locked="0"/>
    </xf>
    <xf numFmtId="49" fontId="4" fillId="10" borderId="3" xfId="0" applyNumberFormat="1" applyFont="1" applyFill="1" applyBorder="1" applyAlignment="1" applyProtection="1">
      <alignment wrapText="1"/>
      <protection locked="0"/>
    </xf>
    <xf numFmtId="49" fontId="4" fillId="10" borderId="3" xfId="0" applyNumberFormat="1" applyFont="1" applyFill="1" applyBorder="1" applyAlignment="1" applyProtection="1">
      <alignment horizontal="center" vertical="center" wrapText="1"/>
      <protection locked="0"/>
    </xf>
    <xf numFmtId="3" fontId="0" fillId="10" borderId="5" xfId="0" applyNumberFormat="1" applyFill="1" applyBorder="1" applyAlignment="1" applyProtection="1">
      <alignment vertical="center"/>
      <protection locked="0"/>
    </xf>
    <xf numFmtId="0" fontId="0" fillId="10" borderId="32" xfId="0" applyFill="1" applyBorder="1" applyAlignment="1" applyProtection="1">
      <alignment vertical="center"/>
      <protection locked="0"/>
    </xf>
    <xf numFmtId="0" fontId="0" fillId="10" borderId="3" xfId="0" applyFill="1" applyBorder="1" applyAlignment="1" applyProtection="1">
      <alignment vertical="center"/>
      <protection locked="0"/>
    </xf>
    <xf numFmtId="0" fontId="0" fillId="10" borderId="33" xfId="0" applyFill="1" applyBorder="1" applyAlignment="1" applyProtection="1">
      <alignment horizontal="center" vertical="center"/>
      <protection locked="0"/>
    </xf>
    <xf numFmtId="0" fontId="0" fillId="3" borderId="52" xfId="0" applyFill="1" applyBorder="1" applyAlignment="1" applyProtection="1">
      <alignment horizontal="center"/>
      <protection locked="0"/>
    </xf>
    <xf numFmtId="0" fontId="18" fillId="3" borderId="52" xfId="0" applyFont="1" applyFill="1" applyBorder="1" applyAlignment="1" applyProtection="1">
      <alignment horizontal="center" vertical="center"/>
      <protection locked="0"/>
    </xf>
    <xf numFmtId="0" fontId="18" fillId="3" borderId="52" xfId="0" applyFont="1" applyFill="1" applyBorder="1" applyAlignment="1" applyProtection="1">
      <alignment horizontal="center"/>
      <protection locked="0"/>
    </xf>
    <xf numFmtId="0" fontId="18" fillId="3" borderId="47" xfId="0" applyFont="1" applyFill="1" applyBorder="1" applyAlignment="1" applyProtection="1">
      <alignment horizontal="center"/>
      <protection locked="0"/>
    </xf>
    <xf numFmtId="0" fontId="0" fillId="10" borderId="3" xfId="0" applyFont="1" applyFill="1" applyBorder="1" applyAlignment="1" applyProtection="1">
      <alignment horizontal="center" vertical="center"/>
      <protection locked="0"/>
    </xf>
    <xf numFmtId="165" fontId="0" fillId="10" borderId="3" xfId="1" applyNumberFormat="1" applyFont="1" applyFill="1" applyBorder="1" applyAlignment="1" applyProtection="1">
      <alignment horizontal="center" vertical="center"/>
      <protection locked="0"/>
    </xf>
    <xf numFmtId="0" fontId="0" fillId="10" borderId="5" xfId="0" applyFill="1" applyBorder="1" applyAlignment="1" applyProtection="1">
      <alignment horizontal="center" vertical="center"/>
      <protection locked="0"/>
    </xf>
    <xf numFmtId="0" fontId="0" fillId="10" borderId="5" xfId="0" applyFill="1" applyBorder="1" applyAlignment="1" applyProtection="1">
      <alignment horizontal="left" vertical="center"/>
      <protection locked="0"/>
    </xf>
    <xf numFmtId="0" fontId="0" fillId="10" borderId="6" xfId="0" applyFill="1" applyBorder="1" applyAlignment="1" applyProtection="1">
      <alignment horizontal="left" vertical="center"/>
      <protection locked="0"/>
    </xf>
    <xf numFmtId="0" fontId="0" fillId="10" borderId="7" xfId="0" applyFill="1" applyBorder="1" applyAlignment="1" applyProtection="1">
      <alignment horizontal="left" vertical="center"/>
      <protection locked="0"/>
    </xf>
    <xf numFmtId="0" fontId="0" fillId="5" borderId="13" xfId="0" applyFill="1" applyBorder="1" applyAlignment="1" applyProtection="1">
      <alignment horizontal="center" vertical="center" wrapText="1"/>
      <protection locked="0"/>
    </xf>
    <xf numFmtId="173" fontId="0" fillId="5" borderId="3" xfId="1" applyNumberFormat="1" applyFont="1" applyFill="1" applyBorder="1" applyAlignment="1" applyProtection="1">
      <alignment horizontal="center" vertical="center" wrapText="1"/>
      <protection locked="0"/>
    </xf>
    <xf numFmtId="3" fontId="0" fillId="5" borderId="3" xfId="1" applyNumberFormat="1" applyFont="1" applyFill="1" applyBorder="1" applyAlignment="1" applyProtection="1">
      <alignment horizontal="center" vertical="center" wrapText="1"/>
      <protection locked="0"/>
    </xf>
    <xf numFmtId="167" fontId="0" fillId="5" borderId="3" xfId="0" applyNumberFormat="1" applyFill="1" applyBorder="1" applyAlignment="1" applyProtection="1">
      <alignment horizontal="center" vertical="center" wrapText="1"/>
      <protection locked="0"/>
    </xf>
    <xf numFmtId="167" fontId="3" fillId="5" borderId="3" xfId="0" applyNumberFormat="1" applyFont="1"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0" fillId="0" borderId="0" xfId="0" applyFill="1" applyBorder="1" applyAlignment="1">
      <alignment vertical="top" wrapText="1"/>
    </xf>
    <xf numFmtId="0" fontId="0" fillId="0" borderId="0" xfId="0" applyFont="1" applyFill="1" applyBorder="1" applyAlignment="1">
      <alignment horizontal="left" vertical="top" wrapText="1" indent="1"/>
    </xf>
    <xf numFmtId="0" fontId="53" fillId="0" borderId="0" xfId="0" applyFont="1" applyFill="1" applyBorder="1" applyAlignment="1">
      <alignment horizontal="center" vertical="center" wrapText="1"/>
    </xf>
    <xf numFmtId="0" fontId="53" fillId="0" borderId="0" xfId="0" applyFont="1" applyFill="1" applyBorder="1" applyAlignment="1">
      <alignment horizontal="center" vertical="top" wrapText="1"/>
    </xf>
    <xf numFmtId="49" fontId="13" fillId="0" borderId="0" xfId="0" applyNumberFormat="1" applyFont="1" applyFill="1" applyBorder="1" applyAlignment="1">
      <alignment horizontal="left"/>
    </xf>
    <xf numFmtId="0" fontId="0" fillId="0" borderId="0" xfId="0" applyAlignment="1">
      <alignment vertical="top"/>
    </xf>
    <xf numFmtId="0" fontId="0" fillId="0" borderId="53" xfId="0" applyBorder="1"/>
    <xf numFmtId="0" fontId="0" fillId="0" borderId="55" xfId="0" applyBorder="1"/>
    <xf numFmtId="0" fontId="0" fillId="0" borderId="56" xfId="0" applyBorder="1"/>
    <xf numFmtId="0" fontId="0" fillId="0" borderId="57" xfId="0" applyBorder="1"/>
    <xf numFmtId="0" fontId="0" fillId="0" borderId="56" xfId="0" applyBorder="1" applyAlignment="1">
      <alignment vertical="top"/>
    </xf>
    <xf numFmtId="0" fontId="0" fillId="0" borderId="57" xfId="0" applyBorder="1" applyAlignment="1">
      <alignment vertical="top"/>
    </xf>
    <xf numFmtId="0" fontId="0" fillId="0" borderId="58" xfId="0" applyBorder="1"/>
    <xf numFmtId="0" fontId="0" fillId="0" borderId="59" xfId="0" applyBorder="1"/>
    <xf numFmtId="0" fontId="0" fillId="0" borderId="60" xfId="0" applyBorder="1"/>
    <xf numFmtId="0" fontId="0" fillId="3" borderId="0" xfId="0" applyFill="1"/>
    <xf numFmtId="0" fontId="0" fillId="3" borderId="0" xfId="0" applyFill="1" applyAlignment="1">
      <alignment vertical="top"/>
    </xf>
    <xf numFmtId="0" fontId="14" fillId="3" borderId="0" xfId="0" applyFont="1" applyFill="1"/>
    <xf numFmtId="0" fontId="0" fillId="3" borderId="0" xfId="0" applyFill="1" applyBorder="1"/>
    <xf numFmtId="49" fontId="0" fillId="10" borderId="18" xfId="0" applyNumberFormat="1" applyFont="1" applyFill="1" applyBorder="1" applyAlignment="1" applyProtection="1">
      <alignment vertical="center" wrapText="1"/>
      <protection locked="0"/>
    </xf>
    <xf numFmtId="0" fontId="0" fillId="10" borderId="61" xfId="0" applyFill="1" applyBorder="1" applyAlignment="1" applyProtection="1">
      <alignment horizontal="center" vertical="center"/>
      <protection locked="0"/>
    </xf>
    <xf numFmtId="49" fontId="0" fillId="10" borderId="7" xfId="0" applyNumberFormat="1" applyFont="1" applyFill="1" applyBorder="1" applyAlignment="1" applyProtection="1">
      <alignment horizontal="left" vertical="center" wrapText="1"/>
      <protection locked="0"/>
    </xf>
    <xf numFmtId="49" fontId="3" fillId="10" borderId="18" xfId="0" applyNumberFormat="1" applyFont="1" applyFill="1" applyBorder="1" applyAlignment="1" applyProtection="1">
      <protection locked="0"/>
    </xf>
    <xf numFmtId="0" fontId="3" fillId="10" borderId="3" xfId="0" applyNumberFormat="1" applyFont="1" applyFill="1" applyBorder="1" applyAlignment="1" applyProtection="1">
      <protection locked="0"/>
    </xf>
    <xf numFmtId="167" fontId="0" fillId="10" borderId="18" xfId="0" applyNumberFormat="1" applyFont="1" applyFill="1" applyBorder="1" applyAlignment="1" applyProtection="1">
      <alignment vertical="center"/>
      <protection locked="0"/>
    </xf>
    <xf numFmtId="0" fontId="0" fillId="0" borderId="15" xfId="0" applyFont="1" applyBorder="1" applyAlignment="1" applyProtection="1">
      <alignment horizontal="center"/>
      <protection locked="0"/>
    </xf>
    <xf numFmtId="0" fontId="0" fillId="0" borderId="0" xfId="0" applyProtection="1"/>
    <xf numFmtId="0" fontId="28" fillId="0" borderId="0" xfId="0" applyFont="1" applyAlignment="1" applyProtection="1">
      <alignment horizontal="center" wrapText="1"/>
    </xf>
    <xf numFmtId="0" fontId="1" fillId="0" borderId="0" xfId="0" applyFont="1" applyAlignment="1" applyProtection="1">
      <alignment horizontal="center" vertical="center" wrapText="1"/>
    </xf>
    <xf numFmtId="49" fontId="11" fillId="0" borderId="8" xfId="0" quotePrefix="1" applyNumberFormat="1" applyFont="1" applyFill="1" applyBorder="1" applyAlignment="1">
      <alignment vertical="center"/>
    </xf>
    <xf numFmtId="49" fontId="11" fillId="0" borderId="0" xfId="0" quotePrefix="1" applyNumberFormat="1" applyFont="1" applyFill="1" applyBorder="1" applyAlignment="1">
      <alignment vertical="center"/>
    </xf>
    <xf numFmtId="0" fontId="52" fillId="0" borderId="0" xfId="4" applyFont="1" applyAlignment="1" applyProtection="1">
      <alignment horizontal="left" vertical="top" wrapText="1"/>
      <protection locked="0"/>
    </xf>
    <xf numFmtId="0" fontId="0" fillId="10" borderId="3" xfId="0" applyFill="1" applyBorder="1" applyAlignment="1" applyProtection="1">
      <alignment horizontal="center" vertical="center"/>
      <protection locked="0"/>
    </xf>
    <xf numFmtId="0" fontId="3" fillId="0" borderId="5" xfId="0" applyFont="1" applyBorder="1" applyAlignment="1">
      <alignment horizontal="center" vertical="center" wrapText="1"/>
    </xf>
    <xf numFmtId="165" fontId="0" fillId="10" borderId="3" xfId="1" applyNumberFormat="1" applyFont="1" applyFill="1" applyBorder="1" applyAlignment="1" applyProtection="1">
      <alignment horizontal="center" vertical="center"/>
      <protection locked="0"/>
    </xf>
    <xf numFmtId="0" fontId="0" fillId="10" borderId="3" xfId="1" applyNumberFormat="1" applyFont="1" applyFill="1" applyBorder="1" applyAlignment="1" applyProtection="1">
      <alignment horizontal="center" vertical="center"/>
      <protection locked="0"/>
    </xf>
    <xf numFmtId="0" fontId="15" fillId="0" borderId="0" xfId="0" applyFont="1" applyAlignment="1"/>
    <xf numFmtId="0" fontId="14" fillId="0" borderId="0" xfId="0" applyFont="1" applyAlignment="1">
      <alignment vertical="top"/>
    </xf>
    <xf numFmtId="0" fontId="3" fillId="0" borderId="0" xfId="0" applyFont="1" applyAlignment="1">
      <alignment wrapText="1"/>
    </xf>
    <xf numFmtId="0" fontId="8" fillId="0" borderId="0" xfId="0" applyFont="1" applyAlignment="1">
      <alignment wrapText="1"/>
    </xf>
    <xf numFmtId="0" fontId="1" fillId="0" borderId="0" xfId="0" quotePrefix="1" applyFont="1" applyAlignment="1">
      <alignment horizontal="center"/>
    </xf>
    <xf numFmtId="0" fontId="6" fillId="0" borderId="0" xfId="0" quotePrefix="1" applyFont="1" applyAlignment="1">
      <alignment horizontal="center"/>
    </xf>
    <xf numFmtId="0" fontId="6" fillId="0" borderId="0" xfId="0" applyFont="1"/>
    <xf numFmtId="0" fontId="0" fillId="0" borderId="0" xfId="0" applyAlignment="1">
      <alignment horizontal="center" vertical="top"/>
    </xf>
    <xf numFmtId="0" fontId="3" fillId="0" borderId="0" xfId="0" applyFont="1" applyAlignment="1">
      <alignment vertical="top" wrapText="1"/>
    </xf>
    <xf numFmtId="0" fontId="56" fillId="0" borderId="0" xfId="0" applyFont="1"/>
    <xf numFmtId="0" fontId="14" fillId="0" borderId="0" xfId="0" applyFont="1" applyFill="1"/>
    <xf numFmtId="0" fontId="52" fillId="0" borderId="0" xfId="4" applyFont="1" applyFill="1" applyAlignment="1" applyProtection="1">
      <alignment horizontal="right"/>
      <protection locked="0"/>
    </xf>
    <xf numFmtId="0" fontId="0" fillId="0" borderId="0" xfId="0" applyBorder="1" applyAlignment="1">
      <alignment horizontal="left"/>
    </xf>
    <xf numFmtId="0" fontId="3" fillId="0" borderId="6" xfId="0" applyFont="1" applyBorder="1" applyAlignment="1">
      <alignment horizontal="center" vertical="center" wrapText="1"/>
    </xf>
    <xf numFmtId="0" fontId="0" fillId="10" borderId="3" xfId="1" applyNumberFormat="1" applyFont="1" applyFill="1" applyBorder="1" applyAlignment="1" applyProtection="1">
      <alignment horizontal="center" vertical="center"/>
      <protection locked="0"/>
    </xf>
    <xf numFmtId="0" fontId="15" fillId="3" borderId="0" xfId="0" applyFont="1" applyFill="1" applyAlignment="1"/>
    <xf numFmtId="0" fontId="14" fillId="3" borderId="0" xfId="0" applyFont="1" applyFill="1" applyAlignment="1">
      <alignment vertical="top"/>
    </xf>
    <xf numFmtId="9" fontId="0" fillId="10" borderId="3" xfId="3" applyFont="1" applyFill="1" applyBorder="1" applyAlignment="1" applyProtection="1">
      <alignment horizontal="center" vertical="center"/>
      <protection locked="0"/>
    </xf>
    <xf numFmtId="49" fontId="7" fillId="0" borderId="0" xfId="0" applyNumberFormat="1" applyFont="1" applyAlignment="1" applyProtection="1">
      <alignment horizontal="left"/>
    </xf>
    <xf numFmtId="0" fontId="6" fillId="3" borderId="3"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3" fillId="0" borderId="6" xfId="0" applyFont="1" applyBorder="1" applyAlignment="1" applyProtection="1">
      <alignment horizontal="center" vertical="center" wrapText="1"/>
    </xf>
    <xf numFmtId="167" fontId="3" fillId="0" borderId="3" xfId="2" applyNumberFormat="1" applyFont="1" applyBorder="1" applyAlignment="1" applyProtection="1">
      <alignment horizontal="center" vertical="center"/>
    </xf>
    <xf numFmtId="168" fontId="3" fillId="0" borderId="3" xfId="0" applyNumberFormat="1" applyFont="1" applyBorder="1" applyAlignment="1" applyProtection="1">
      <alignment horizontal="center" vertical="center"/>
    </xf>
    <xf numFmtId="0" fontId="46" fillId="0" borderId="0" xfId="0" applyFont="1" applyProtection="1"/>
    <xf numFmtId="0" fontId="3" fillId="0" borderId="0" xfId="0" applyFont="1" applyProtection="1"/>
    <xf numFmtId="0" fontId="0" fillId="10" borderId="3" xfId="0" applyFill="1" applyBorder="1" applyAlignment="1" applyProtection="1">
      <alignment horizontal="center" vertical="center"/>
      <protection locked="0"/>
    </xf>
    <xf numFmtId="0" fontId="6" fillId="3" borderId="14" xfId="0" applyFont="1" applyFill="1" applyBorder="1" applyAlignment="1">
      <alignment horizontal="center" vertical="center" wrapText="1"/>
    </xf>
    <xf numFmtId="165" fontId="0" fillId="10" borderId="3" xfId="1" applyNumberFormat="1" applyFont="1" applyFill="1" applyBorder="1" applyAlignment="1" applyProtection="1">
      <alignment horizontal="center" vertical="center"/>
      <protection locked="0"/>
    </xf>
    <xf numFmtId="0" fontId="0" fillId="3" borderId="0" xfId="0" applyFill="1" applyAlignment="1">
      <alignment wrapText="1"/>
    </xf>
    <xf numFmtId="0" fontId="0" fillId="12" borderId="0" xfId="0" applyFill="1"/>
    <xf numFmtId="0" fontId="0" fillId="12" borderId="0" xfId="0" applyFill="1" applyAlignment="1">
      <alignment wrapText="1"/>
    </xf>
    <xf numFmtId="0" fontId="61" fillId="0" borderId="0" xfId="0" applyFont="1"/>
    <xf numFmtId="0" fontId="3" fillId="12" borderId="0" xfId="0" applyNumberFormat="1" applyFont="1" applyFill="1" applyBorder="1" applyAlignment="1">
      <alignment vertical="top" wrapText="1"/>
    </xf>
    <xf numFmtId="0" fontId="3" fillId="12" borderId="15" xfId="0" applyNumberFormat="1" applyFont="1" applyFill="1" applyBorder="1" applyAlignment="1">
      <alignment vertical="top" wrapText="1"/>
    </xf>
    <xf numFmtId="0" fontId="11" fillId="12" borderId="0" xfId="0" applyNumberFormat="1" applyFont="1" applyFill="1" applyBorder="1" applyAlignment="1">
      <alignment vertical="top"/>
    </xf>
    <xf numFmtId="167" fontId="0" fillId="9" borderId="5" xfId="0" applyNumberFormat="1" applyFill="1" applyBorder="1"/>
    <xf numFmtId="167" fontId="0" fillId="9" borderId="5" xfId="2" applyNumberFormat="1" applyFont="1" applyFill="1" applyBorder="1"/>
    <xf numFmtId="167" fontId="0" fillId="9" borderId="14" xfId="2" applyNumberFormat="1" applyFont="1" applyFill="1" applyBorder="1"/>
    <xf numFmtId="0" fontId="0" fillId="0" borderId="32" xfId="0" applyBorder="1" applyAlignment="1" applyProtection="1">
      <alignment vertical="center"/>
      <protection hidden="1"/>
    </xf>
    <xf numFmtId="0" fontId="0" fillId="0" borderId="33" xfId="0" applyBorder="1" applyAlignment="1" applyProtection="1">
      <alignment vertical="center"/>
      <protection hidden="1"/>
    </xf>
    <xf numFmtId="0" fontId="0" fillId="10" borderId="3" xfId="0" applyFill="1" applyBorder="1" applyAlignment="1" applyProtection="1">
      <alignment horizontal="left" vertical="center"/>
      <protection locked="0" hidden="1"/>
    </xf>
    <xf numFmtId="0" fontId="0" fillId="0" borderId="35" xfId="0" applyBorder="1" applyAlignment="1" applyProtection="1">
      <alignment horizontal="center" vertical="center" wrapText="1"/>
      <protection hidden="1"/>
    </xf>
    <xf numFmtId="2" fontId="0" fillId="0" borderId="32" xfId="0" applyNumberFormat="1" applyBorder="1" applyAlignment="1" applyProtection="1">
      <alignment vertical="center"/>
      <protection hidden="1"/>
    </xf>
    <xf numFmtId="0" fontId="0" fillId="0" borderId="3" xfId="0" applyBorder="1" applyAlignment="1" applyProtection="1">
      <alignment vertical="center"/>
      <protection hidden="1"/>
    </xf>
    <xf numFmtId="0" fontId="0" fillId="0" borderId="3" xfId="0" applyFill="1" applyBorder="1" applyAlignment="1" applyProtection="1">
      <alignment horizontal="left" vertical="center"/>
      <protection hidden="1"/>
    </xf>
    <xf numFmtId="172" fontId="0" fillId="0" borderId="17" xfId="1" applyNumberFormat="1" applyFont="1" applyFill="1" applyBorder="1" applyAlignment="1" applyProtection="1">
      <alignment horizontal="left" vertical="center"/>
      <protection hidden="1"/>
    </xf>
    <xf numFmtId="0" fontId="0" fillId="0" borderId="5" xfId="0" applyFill="1" applyBorder="1" applyAlignment="1" applyProtection="1">
      <alignment horizontal="left" vertical="center"/>
      <protection hidden="1"/>
    </xf>
    <xf numFmtId="43" fontId="0" fillId="0" borderId="4" xfId="1" applyNumberFormat="1" applyFont="1" applyFill="1" applyBorder="1" applyAlignment="1" applyProtection="1">
      <alignment horizontal="left" vertical="center"/>
      <protection hidden="1"/>
    </xf>
    <xf numFmtId="167" fontId="0" fillId="0" borderId="4" xfId="2" applyNumberFormat="1" applyFont="1" applyFill="1" applyBorder="1" applyAlignment="1" applyProtection="1">
      <alignment horizontal="right" vertical="center"/>
      <protection hidden="1"/>
    </xf>
    <xf numFmtId="172" fontId="0" fillId="0" borderId="4" xfId="1" applyNumberFormat="1" applyFont="1" applyFill="1" applyBorder="1" applyAlignment="1" applyProtection="1">
      <alignment horizontal="right" vertical="center"/>
      <protection hidden="1"/>
    </xf>
    <xf numFmtId="172" fontId="0" fillId="0" borderId="13" xfId="1" applyNumberFormat="1" applyFont="1" applyFill="1" applyBorder="1" applyAlignment="1" applyProtection="1">
      <alignment horizontal="left" vertical="center"/>
      <protection hidden="1"/>
    </xf>
    <xf numFmtId="166" fontId="0" fillId="0" borderId="3" xfId="1" applyNumberFormat="1" applyFont="1" applyFill="1" applyBorder="1" applyAlignment="1" applyProtection="1">
      <alignment horizontal="right" vertical="center"/>
      <protection hidden="1"/>
    </xf>
    <xf numFmtId="166" fontId="0" fillId="0" borderId="3" xfId="1" applyNumberFormat="1" applyFont="1" applyFill="1" applyBorder="1" applyAlignment="1" applyProtection="1">
      <alignment horizontal="left" vertical="center"/>
      <protection hidden="1"/>
    </xf>
    <xf numFmtId="170" fontId="0" fillId="0" borderId="3" xfId="3" applyNumberFormat="1" applyFont="1" applyFill="1" applyBorder="1" applyAlignment="1" applyProtection="1">
      <alignment horizontal="right" vertical="center"/>
      <protection hidden="1"/>
    </xf>
    <xf numFmtId="0" fontId="0" fillId="0" borderId="3" xfId="0" applyFill="1" applyBorder="1" applyAlignment="1" applyProtection="1">
      <alignment horizontal="right" vertical="center" wrapText="1"/>
      <protection hidden="1"/>
    </xf>
    <xf numFmtId="0" fontId="0" fillId="0" borderId="0" xfId="0" applyProtection="1">
      <protection hidden="1"/>
    </xf>
    <xf numFmtId="172" fontId="0" fillId="0" borderId="3" xfId="1" applyNumberFormat="1" applyFont="1" applyFill="1" applyBorder="1" applyAlignment="1" applyProtection="1">
      <alignment horizontal="left" vertical="center"/>
      <protection hidden="1"/>
    </xf>
    <xf numFmtId="43" fontId="0" fillId="7" borderId="3" xfId="1" applyFont="1" applyFill="1" applyBorder="1" applyProtection="1">
      <protection hidden="1"/>
    </xf>
    <xf numFmtId="43" fontId="0" fillId="7" borderId="17" xfId="1" applyFont="1" applyFill="1" applyBorder="1" applyProtection="1">
      <protection hidden="1"/>
    </xf>
    <xf numFmtId="43" fontId="0" fillId="7" borderId="49" xfId="1" applyFont="1" applyFill="1" applyBorder="1" applyProtection="1">
      <protection hidden="1"/>
    </xf>
    <xf numFmtId="0" fontId="0" fillId="7" borderId="50" xfId="0" applyFill="1" applyBorder="1" applyAlignment="1" applyProtection="1">
      <alignment horizontal="right"/>
      <protection hidden="1"/>
    </xf>
    <xf numFmtId="0" fontId="0" fillId="0" borderId="0" xfId="0" applyFont="1" applyFill="1" applyAlignment="1">
      <alignment horizontal="right"/>
    </xf>
    <xf numFmtId="0" fontId="0" fillId="0" borderId="0" xfId="0" applyFont="1" applyFill="1" applyAlignment="1">
      <alignment horizontal="right" vertical="top"/>
    </xf>
    <xf numFmtId="0" fontId="9" fillId="0" borderId="0" xfId="4"/>
    <xf numFmtId="0" fontId="18" fillId="0" borderId="0" xfId="0" applyFont="1" applyBorder="1"/>
    <xf numFmtId="168" fontId="18" fillId="0" borderId="0" xfId="2" applyNumberFormat="1" applyFont="1" applyBorder="1" applyAlignment="1">
      <alignment horizontal="right"/>
    </xf>
    <xf numFmtId="167" fontId="18" fillId="0" borderId="0" xfId="2" quotePrefix="1" applyNumberFormat="1" applyFont="1" applyBorder="1"/>
    <xf numFmtId="0" fontId="18" fillId="0" borderId="0" xfId="0" applyFont="1" applyBorder="1" applyAlignment="1">
      <alignment horizontal="left"/>
    </xf>
    <xf numFmtId="0" fontId="0" fillId="0" borderId="0" xfId="0"/>
    <xf numFmtId="0" fontId="9" fillId="0" borderId="0" xfId="4" applyFill="1" applyBorder="1" applyAlignment="1">
      <alignment horizontal="left" vertical="top"/>
    </xf>
    <xf numFmtId="0" fontId="17" fillId="13" borderId="3" xfId="0" applyFont="1" applyFill="1" applyBorder="1" applyAlignment="1">
      <alignment horizontal="center" vertical="center"/>
    </xf>
    <xf numFmtId="0" fontId="17" fillId="9" borderId="3" xfId="0" applyFont="1" applyFill="1" applyBorder="1" applyAlignment="1">
      <alignment horizontal="center" vertical="center"/>
    </xf>
    <xf numFmtId="2" fontId="17" fillId="0" borderId="3" xfId="0" applyNumberFormat="1" applyFont="1" applyFill="1" applyBorder="1" applyAlignment="1">
      <alignment horizontal="center" vertical="center"/>
    </xf>
    <xf numFmtId="0" fontId="33" fillId="13" borderId="3" xfId="0" applyFont="1" applyFill="1" applyBorder="1" applyAlignment="1">
      <alignment horizontal="center" vertical="center"/>
    </xf>
    <xf numFmtId="0" fontId="17" fillId="14" borderId="3" xfId="0" applyFont="1" applyFill="1" applyBorder="1" applyAlignment="1">
      <alignment horizontal="center" vertical="center"/>
    </xf>
    <xf numFmtId="0" fontId="33" fillId="14" borderId="3" xfId="0" applyFont="1" applyFill="1" applyBorder="1" applyAlignment="1">
      <alignment horizontal="center" vertical="center"/>
    </xf>
    <xf numFmtId="0" fontId="34" fillId="13" borderId="3" xfId="0" applyFont="1" applyFill="1" applyBorder="1" applyAlignment="1">
      <alignment horizontal="center"/>
    </xf>
    <xf numFmtId="0" fontId="18" fillId="13" borderId="17" xfId="0" applyFont="1" applyFill="1" applyBorder="1" applyAlignment="1" applyProtection="1">
      <alignment horizontal="center"/>
      <protection hidden="1"/>
    </xf>
    <xf numFmtId="0" fontId="18" fillId="14" borderId="3" xfId="0" applyFont="1" applyFill="1" applyBorder="1" applyAlignment="1" applyProtection="1">
      <alignment horizontal="center"/>
      <protection hidden="1"/>
    </xf>
    <xf numFmtId="0" fontId="18" fillId="13" borderId="3" xfId="0" applyFont="1" applyFill="1" applyBorder="1" applyAlignment="1" applyProtection="1">
      <alignment horizontal="center"/>
      <protection hidden="1"/>
    </xf>
    <xf numFmtId="0" fontId="18" fillId="9" borderId="3" xfId="0" applyFont="1" applyFill="1" applyBorder="1" applyAlignment="1" applyProtection="1">
      <alignment horizontal="center"/>
      <protection hidden="1"/>
    </xf>
    <xf numFmtId="0" fontId="18" fillId="14" borderId="17" xfId="0" applyFont="1" applyFill="1" applyBorder="1" applyAlignment="1" applyProtection="1">
      <alignment horizontal="center"/>
      <protection hidden="1"/>
    </xf>
    <xf numFmtId="0" fontId="18" fillId="15" borderId="5" xfId="0" applyFont="1" applyFill="1" applyBorder="1" applyAlignment="1" applyProtection="1">
      <alignment horizontal="center"/>
      <protection hidden="1"/>
    </xf>
    <xf numFmtId="167" fontId="3" fillId="0" borderId="0" xfId="0" applyNumberFormat="1" applyFont="1" applyFill="1"/>
    <xf numFmtId="174" fontId="3" fillId="0" borderId="0" xfId="0" applyNumberFormat="1" applyFont="1" applyFill="1"/>
    <xf numFmtId="168" fontId="3" fillId="0" borderId="0" xfId="0" applyNumberFormat="1" applyFont="1" applyFill="1"/>
    <xf numFmtId="0" fontId="0" fillId="0" borderId="0" xfId="0"/>
    <xf numFmtId="0" fontId="0" fillId="0" borderId="5" xfId="0" applyFill="1" applyBorder="1" applyAlignment="1">
      <alignment horizontal="left" vertical="center"/>
    </xf>
    <xf numFmtId="43" fontId="0" fillId="0" borderId="0" xfId="0" applyNumberFormat="1"/>
    <xf numFmtId="43" fontId="0" fillId="0" borderId="0" xfId="1" applyFont="1"/>
    <xf numFmtId="173" fontId="0" fillId="12" borderId="0" xfId="1" applyNumberFormat="1" applyFont="1" applyFill="1" applyBorder="1" applyAlignment="1">
      <alignment horizontal="center" vertical="center" wrapText="1"/>
    </xf>
    <xf numFmtId="49" fontId="3" fillId="10" borderId="3" xfId="0" quotePrefix="1" applyNumberFormat="1" applyFont="1" applyFill="1" applyBorder="1" applyAlignment="1" applyProtection="1">
      <alignment vertical="top" wrapText="1"/>
      <protection locked="0"/>
    </xf>
    <xf numFmtId="49" fontId="3" fillId="0" borderId="11" xfId="0" quotePrefix="1" applyNumberFormat="1" applyFont="1" applyFill="1" applyBorder="1" applyAlignment="1">
      <alignment wrapText="1"/>
    </xf>
    <xf numFmtId="49" fontId="3" fillId="0" borderId="3" xfId="0" quotePrefix="1" applyNumberFormat="1" applyFont="1" applyFill="1" applyBorder="1" applyAlignment="1">
      <alignment vertical="center" wrapText="1"/>
    </xf>
    <xf numFmtId="49" fontId="3" fillId="0" borderId="0" xfId="0" quotePrefix="1" applyNumberFormat="1" applyFont="1" applyFill="1" applyBorder="1" applyAlignment="1">
      <alignment wrapText="1"/>
    </xf>
    <xf numFmtId="49" fontId="15" fillId="0" borderId="0" xfId="0" quotePrefix="1" applyNumberFormat="1" applyFont="1" applyFill="1" applyBorder="1" applyAlignment="1">
      <alignment horizontal="left" vertical="center"/>
    </xf>
    <xf numFmtId="0" fontId="0" fillId="0" borderId="0" xfId="0" applyFill="1" applyBorder="1" applyAlignment="1" applyProtection="1">
      <alignment horizontal="left" vertical="top" wrapText="1"/>
      <protection locked="0"/>
    </xf>
    <xf numFmtId="49" fontId="7" fillId="0" borderId="0" xfId="0" quotePrefix="1" applyNumberFormat="1" applyFont="1" applyFill="1" applyBorder="1" applyAlignment="1">
      <alignment horizontal="left" vertical="center"/>
    </xf>
    <xf numFmtId="49" fontId="3" fillId="0" borderId="0" xfId="0" quotePrefix="1" applyNumberFormat="1" applyFont="1" applyFill="1" applyBorder="1" applyAlignment="1">
      <alignment horizontal="left" vertical="top"/>
    </xf>
    <xf numFmtId="49" fontId="9" fillId="0" borderId="0" xfId="4" quotePrefix="1" applyNumberFormat="1" applyFill="1" applyBorder="1" applyAlignment="1" applyProtection="1">
      <alignment horizontal="left" vertical="top" wrapText="1"/>
      <protection locked="0"/>
    </xf>
    <xf numFmtId="0" fontId="0" fillId="0" borderId="0" xfId="0" applyFill="1" applyBorder="1" applyAlignment="1">
      <alignment horizontal="center" vertical="center" wrapText="1"/>
    </xf>
    <xf numFmtId="173" fontId="0" fillId="0" borderId="0" xfId="1" applyNumberFormat="1" applyFont="1" applyFill="1" applyBorder="1" applyAlignment="1">
      <alignment horizontal="center" vertical="center" wrapText="1"/>
    </xf>
    <xf numFmtId="49" fontId="7" fillId="0" borderId="0" xfId="0" quotePrefix="1" applyNumberFormat="1" applyFont="1" applyFill="1" applyBorder="1" applyAlignment="1">
      <alignment vertical="center"/>
    </xf>
    <xf numFmtId="49" fontId="3" fillId="0" borderId="1" xfId="0" quotePrefix="1" applyNumberFormat="1" applyFont="1" applyFill="1" applyBorder="1" applyAlignment="1" applyProtection="1">
      <alignment horizontal="center" vertical="top" wrapText="1"/>
      <protection locked="0"/>
    </xf>
    <xf numFmtId="0" fontId="0" fillId="0" borderId="1" xfId="0" applyFill="1" applyBorder="1" applyAlignment="1" applyProtection="1">
      <alignment horizontal="center" vertical="center" wrapText="1"/>
      <protection locked="0"/>
    </xf>
    <xf numFmtId="173" fontId="0" fillId="0" borderId="1" xfId="1" applyNumberFormat="1" applyFont="1" applyFill="1" applyBorder="1" applyAlignment="1" applyProtection="1">
      <alignment horizontal="center" vertical="center" wrapText="1"/>
      <protection locked="0"/>
    </xf>
    <xf numFmtId="3" fontId="0" fillId="0" borderId="1" xfId="1" applyNumberFormat="1" applyFont="1" applyFill="1" applyBorder="1" applyAlignment="1" applyProtection="1">
      <alignment horizontal="center" vertical="center" wrapText="1"/>
      <protection locked="0"/>
    </xf>
    <xf numFmtId="173" fontId="0" fillId="0" borderId="1" xfId="1" applyNumberFormat="1" applyFont="1" applyFill="1" applyBorder="1" applyAlignment="1">
      <alignment horizontal="center" vertical="center" wrapText="1"/>
    </xf>
    <xf numFmtId="167" fontId="0" fillId="0" borderId="1" xfId="0" applyNumberFormat="1" applyFill="1" applyBorder="1" applyAlignment="1" applyProtection="1">
      <alignment horizontal="center" vertical="center" wrapText="1"/>
      <protection locked="0"/>
    </xf>
    <xf numFmtId="167" fontId="3" fillId="0" borderId="1" xfId="0" applyNumberFormat="1" applyFont="1" applyFill="1" applyBorder="1" applyAlignment="1" applyProtection="1">
      <alignment horizontal="center" vertical="center" wrapText="1"/>
      <protection locked="0"/>
    </xf>
    <xf numFmtId="167" fontId="17" fillId="0" borderId="1" xfId="2" applyNumberFormat="1" applyFont="1" applyFill="1" applyBorder="1" applyAlignment="1">
      <alignment horizontal="center" vertical="center" wrapText="1"/>
    </xf>
    <xf numFmtId="167" fontId="17" fillId="0" borderId="1" xfId="0" applyNumberFormat="1"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9" fontId="0" fillId="0" borderId="1" xfId="3" applyFont="1" applyFill="1" applyBorder="1" applyAlignment="1">
      <alignment horizontal="center" vertical="center" wrapText="1"/>
    </xf>
    <xf numFmtId="167" fontId="1" fillId="0" borderId="1" xfId="3" applyNumberFormat="1" applyFont="1" applyFill="1" applyBorder="1" applyAlignment="1">
      <alignment horizontal="center" vertical="center" wrapText="1"/>
    </xf>
    <xf numFmtId="49" fontId="7" fillId="2" borderId="5" xfId="0" quotePrefix="1" applyNumberFormat="1" applyFont="1" applyFill="1" applyBorder="1" applyAlignment="1">
      <alignment vertical="center"/>
    </xf>
    <xf numFmtId="49" fontId="7" fillId="2" borderId="6" xfId="0" quotePrefix="1" applyNumberFormat="1" applyFont="1" applyFill="1" applyBorder="1" applyAlignment="1">
      <alignment vertical="center"/>
    </xf>
    <xf numFmtId="49" fontId="7" fillId="2" borderId="7" xfId="0" quotePrefix="1" applyNumberFormat="1" applyFont="1" applyFill="1" applyBorder="1" applyAlignment="1">
      <alignment vertical="center"/>
    </xf>
    <xf numFmtId="49" fontId="7" fillId="2" borderId="3" xfId="0" quotePrefix="1" applyNumberFormat="1" applyFont="1" applyFill="1" applyBorder="1" applyAlignment="1">
      <alignment horizontal="center" vertical="center"/>
    </xf>
    <xf numFmtId="167" fontId="14" fillId="7" borderId="3" xfId="0" applyNumberFormat="1" applyFont="1" applyFill="1" applyBorder="1" applyAlignment="1" applyProtection="1">
      <alignment horizontal="center" vertical="center" wrapText="1"/>
      <protection locked="0"/>
    </xf>
    <xf numFmtId="167" fontId="8" fillId="7" borderId="3" xfId="0" applyNumberFormat="1" applyFont="1" applyFill="1" applyBorder="1" applyAlignment="1" applyProtection="1">
      <alignment horizontal="center" vertical="center" wrapText="1"/>
      <protection locked="0"/>
    </xf>
    <xf numFmtId="0" fontId="62" fillId="0" borderId="0" xfId="0" applyFont="1"/>
    <xf numFmtId="0" fontId="9" fillId="0" borderId="0" xfId="4" applyAlignment="1" applyProtection="1">
      <alignment horizontal="center"/>
      <protection locked="0"/>
    </xf>
    <xf numFmtId="0" fontId="1" fillId="0" borderId="0" xfId="0" applyFont="1" applyFill="1" applyBorder="1" applyAlignment="1">
      <alignment horizontal="left" wrapText="1"/>
    </xf>
    <xf numFmtId="0" fontId="0" fillId="0" borderId="0" xfId="0"/>
    <xf numFmtId="44" fontId="0" fillId="0" borderId="3" xfId="2" applyFont="1" applyFill="1" applyBorder="1" applyAlignment="1" applyProtection="1">
      <alignment horizontal="right" vertical="center"/>
      <protection hidden="1"/>
    </xf>
    <xf numFmtId="44" fontId="1" fillId="0" borderId="4" xfId="2" applyFont="1" applyFill="1" applyBorder="1" applyAlignment="1" applyProtection="1">
      <alignment horizontal="right" vertical="center"/>
      <protection hidden="1"/>
    </xf>
    <xf numFmtId="0" fontId="0" fillId="0" borderId="3" xfId="0" applyFill="1" applyBorder="1" applyAlignment="1" applyProtection="1">
      <alignment horizontal="left" vertical="center" wrapText="1"/>
      <protection hidden="1"/>
    </xf>
    <xf numFmtId="167" fontId="64" fillId="0" borderId="0" xfId="0" applyNumberFormat="1" applyFont="1" applyAlignment="1">
      <alignment horizontal="center"/>
    </xf>
    <xf numFmtId="0" fontId="1" fillId="0" borderId="0" xfId="0" applyFont="1" applyFill="1" applyBorder="1" applyAlignment="1">
      <alignment horizontal="left" vertical="center"/>
    </xf>
    <xf numFmtId="0" fontId="65" fillId="0" borderId="0" xfId="0" applyFont="1" applyFill="1" applyBorder="1" applyAlignment="1">
      <alignment horizontal="left" wrapText="1"/>
    </xf>
    <xf numFmtId="0" fontId="3" fillId="0" borderId="0" xfId="0" applyFont="1" applyFill="1" applyBorder="1" applyAlignment="1">
      <alignment horizontal="left" vertical="center"/>
    </xf>
    <xf numFmtId="0" fontId="7" fillId="0" borderId="2" xfId="0" applyFont="1" applyFill="1" applyBorder="1" applyAlignment="1" applyProtection="1">
      <alignment horizontal="center" vertical="center" wrapText="1"/>
      <protection locked="0"/>
    </xf>
    <xf numFmtId="0" fontId="14" fillId="0" borderId="0" xfId="0" applyNumberFormat="1" applyFont="1" applyAlignment="1">
      <alignment vertical="center"/>
    </xf>
    <xf numFmtId="0" fontId="0" fillId="0" borderId="0" xfId="0" applyBorder="1" applyAlignment="1">
      <alignment horizontal="left"/>
    </xf>
    <xf numFmtId="0" fontId="1" fillId="0" borderId="0" xfId="0" applyFont="1" applyFill="1" applyBorder="1" applyAlignment="1">
      <alignment horizontal="left" wrapText="1"/>
    </xf>
    <xf numFmtId="49" fontId="13" fillId="0" borderId="0" xfId="0" applyNumberFormat="1" applyFont="1" applyFill="1" applyBorder="1" applyAlignment="1">
      <alignment wrapText="1"/>
    </xf>
    <xf numFmtId="0" fontId="0" fillId="0" borderId="0" xfId="0"/>
    <xf numFmtId="165" fontId="3" fillId="0" borderId="0" xfId="1" applyNumberFormat="1" applyFont="1" applyFill="1"/>
    <xf numFmtId="0" fontId="14" fillId="0" borderId="0" xfId="0" applyFont="1" applyBorder="1" applyAlignment="1">
      <alignment horizontal="left" vertical="center"/>
    </xf>
    <xf numFmtId="173" fontId="0" fillId="0" borderId="0" xfId="0" applyNumberFormat="1" applyFill="1" applyBorder="1"/>
    <xf numFmtId="0" fontId="19" fillId="0" borderId="13" xfId="0" applyFont="1" applyBorder="1" applyAlignment="1" applyProtection="1">
      <alignment horizontal="center" vertical="center" wrapText="1"/>
      <protection hidden="1"/>
    </xf>
    <xf numFmtId="0" fontId="17" fillId="0" borderId="3" xfId="0" applyFont="1" applyBorder="1" applyAlignment="1">
      <alignment horizontal="center" vertical="center"/>
    </xf>
    <xf numFmtId="2" fontId="17" fillId="0" borderId="3" xfId="0" applyNumberFormat="1" applyFont="1" applyBorder="1" applyAlignment="1">
      <alignment horizontal="center" vertical="center"/>
    </xf>
    <xf numFmtId="0" fontId="18" fillId="0" borderId="17" xfId="0" applyFont="1" applyBorder="1" applyAlignment="1" applyProtection="1">
      <alignment horizontal="center"/>
      <protection hidden="1"/>
    </xf>
    <xf numFmtId="0" fontId="0" fillId="0" borderId="0" xfId="0" applyAlignment="1" applyProtection="1">
      <alignment horizontal="right"/>
      <protection locked="0"/>
    </xf>
    <xf numFmtId="0" fontId="14" fillId="0" borderId="0" xfId="0" applyFont="1" applyFill="1" applyProtection="1">
      <protection locked="0"/>
    </xf>
    <xf numFmtId="0" fontId="70" fillId="0" borderId="0" xfId="0" applyFont="1"/>
    <xf numFmtId="0" fontId="67" fillId="0" borderId="0" xfId="4" applyFont="1" applyFill="1" applyBorder="1" applyAlignment="1" applyProtection="1">
      <alignment horizontal="left" vertical="top" wrapText="1"/>
      <protection locked="0"/>
    </xf>
    <xf numFmtId="49" fontId="0" fillId="10" borderId="18" xfId="0" applyNumberFormat="1" applyFont="1" applyFill="1" applyBorder="1" applyAlignment="1" applyProtection="1">
      <alignment horizontal="center" vertical="center" wrapText="1"/>
      <protection locked="0"/>
    </xf>
    <xf numFmtId="49" fontId="3" fillId="10" borderId="18" xfId="0" applyNumberFormat="1" applyFont="1" applyFill="1" applyBorder="1" applyAlignment="1" applyProtection="1">
      <alignment vertical="center" wrapText="1"/>
      <protection locked="0"/>
    </xf>
    <xf numFmtId="0" fontId="67" fillId="0" borderId="0" xfId="4" applyFont="1" applyFill="1" applyBorder="1" applyAlignment="1" applyProtection="1">
      <alignment horizontal="left" vertical="top"/>
      <protection locked="0"/>
    </xf>
    <xf numFmtId="49" fontId="3" fillId="0" borderId="0" xfId="0" applyNumberFormat="1" applyFont="1" applyFill="1" applyBorder="1" applyAlignment="1" applyProtection="1">
      <alignment horizontal="right" vertical="center" wrapText="1"/>
    </xf>
    <xf numFmtId="49" fontId="60" fillId="0" borderId="0" xfId="0" applyNumberFormat="1" applyFont="1" applyFill="1" applyBorder="1" applyAlignment="1" applyProtection="1">
      <alignment vertical="center"/>
    </xf>
    <xf numFmtId="0" fontId="15" fillId="0" borderId="0" xfId="0" applyFont="1" applyAlignment="1">
      <alignment horizontal="center"/>
    </xf>
    <xf numFmtId="0" fontId="14" fillId="0" borderId="0" xfId="0" applyFont="1" applyAlignment="1">
      <alignment horizontal="center" vertical="top"/>
    </xf>
    <xf numFmtId="0" fontId="52" fillId="0" borderId="0" xfId="4" applyFont="1" applyAlignment="1" applyProtection="1">
      <alignment horizontal="center"/>
      <protection locked="0"/>
    </xf>
    <xf numFmtId="0" fontId="0" fillId="0" borderId="0" xfId="0" applyFont="1" applyBorder="1" applyAlignment="1">
      <alignment horizontal="left" wrapText="1"/>
    </xf>
    <xf numFmtId="0" fontId="0" fillId="0" borderId="0" xfId="0" applyFont="1" applyFill="1" applyBorder="1" applyAlignment="1">
      <alignment horizontal="left" vertical="top" wrapText="1"/>
    </xf>
    <xf numFmtId="49" fontId="52" fillId="0" borderId="0" xfId="4" applyNumberFormat="1" applyFont="1" applyFill="1" applyBorder="1" applyAlignment="1" applyProtection="1">
      <alignment horizontal="left" vertical="top" wrapText="1"/>
      <protection locked="0"/>
    </xf>
    <xf numFmtId="0" fontId="0" fillId="0" borderId="0" xfId="0" applyFont="1" applyAlignment="1">
      <alignment horizontal="left" wrapText="1"/>
    </xf>
    <xf numFmtId="0" fontId="52" fillId="0" borderId="0" xfId="4" applyFont="1" applyAlignment="1" applyProtection="1">
      <alignment horizontal="left" vertical="top" wrapText="1"/>
      <protection locked="0"/>
    </xf>
    <xf numFmtId="0" fontId="52" fillId="0" borderId="0" xfId="4" applyFont="1" applyAlignment="1" applyProtection="1">
      <alignment horizontal="right"/>
      <protection locked="0"/>
    </xf>
    <xf numFmtId="0" fontId="11" fillId="0" borderId="0" xfId="0" applyFont="1" applyBorder="1" applyAlignment="1">
      <alignment horizontal="center" vertical="top" wrapText="1"/>
    </xf>
    <xf numFmtId="0" fontId="17" fillId="0" borderId="54" xfId="0" applyFont="1" applyFill="1" applyBorder="1" applyAlignment="1">
      <alignment horizontal="left" wrapText="1"/>
    </xf>
    <xf numFmtId="0" fontId="0" fillId="0" borderId="54" xfId="0" applyFill="1" applyBorder="1" applyAlignment="1">
      <alignment horizontal="left" wrapText="1"/>
    </xf>
    <xf numFmtId="0" fontId="0" fillId="0" borderId="0" xfId="0" applyBorder="1" applyAlignment="1">
      <alignment horizontal="left"/>
    </xf>
    <xf numFmtId="0" fontId="0" fillId="0" borderId="0" xfId="0" applyBorder="1" applyAlignment="1">
      <alignment horizontal="left" vertical="top" wrapText="1"/>
    </xf>
    <xf numFmtId="0" fontId="1" fillId="0" borderId="59" xfId="0" applyFont="1" applyFill="1" applyBorder="1" applyAlignment="1">
      <alignment horizontal="left" wrapText="1"/>
    </xf>
    <xf numFmtId="0" fontId="1" fillId="0" borderId="0" xfId="0" applyFont="1" applyFill="1" applyBorder="1" applyAlignment="1">
      <alignment horizontal="left" wrapText="1"/>
    </xf>
    <xf numFmtId="0" fontId="8" fillId="0" borderId="0" xfId="0" applyFont="1" applyBorder="1" applyAlignment="1">
      <alignment horizontal="center" wrapText="1"/>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66" fillId="0" borderId="0" xfId="0" applyFont="1" applyFill="1" applyBorder="1" applyAlignment="1">
      <alignment horizontal="center" wrapText="1"/>
    </xf>
    <xf numFmtId="0" fontId="0" fillId="0" borderId="3" xfId="0" applyFont="1" applyFill="1" applyBorder="1" applyAlignment="1" applyProtection="1">
      <alignment horizontal="center" wrapText="1"/>
      <protection locked="0"/>
    </xf>
    <xf numFmtId="0" fontId="3" fillId="0" borderId="15" xfId="0" applyFont="1" applyFill="1" applyBorder="1" applyAlignment="1">
      <alignment horizontal="left" wrapText="1"/>
    </xf>
    <xf numFmtId="0" fontId="66" fillId="0" borderId="11" xfId="0" applyFont="1" applyFill="1" applyBorder="1" applyAlignment="1">
      <alignment horizontal="center" wrapText="1"/>
    </xf>
    <xf numFmtId="49" fontId="0" fillId="10" borderId="19" xfId="0" applyNumberFormat="1" applyFont="1" applyFill="1" applyBorder="1" applyAlignment="1" applyProtection="1">
      <alignment horizontal="center" vertical="center" wrapText="1"/>
      <protection locked="0"/>
    </xf>
    <xf numFmtId="49" fontId="0" fillId="10" borderId="24" xfId="0" applyNumberFormat="1" applyFont="1" applyFill="1" applyBorder="1" applyAlignment="1" applyProtection="1">
      <alignment horizontal="center" vertical="center" wrapText="1"/>
      <protection locked="0"/>
    </xf>
    <xf numFmtId="49" fontId="0" fillId="10" borderId="20" xfId="0" applyNumberFormat="1" applyFont="1" applyFill="1" applyBorder="1" applyAlignment="1" applyProtection="1">
      <alignment horizontal="center" vertical="center" wrapText="1"/>
      <protection locked="0"/>
    </xf>
    <xf numFmtId="49" fontId="0" fillId="10" borderId="62" xfId="0" applyNumberFormat="1" applyFont="1" applyFill="1" applyBorder="1" applyAlignment="1" applyProtection="1">
      <alignment horizontal="center" vertical="center" wrapText="1"/>
      <protection locked="0"/>
    </xf>
    <xf numFmtId="49" fontId="0" fillId="10" borderId="63" xfId="0" applyNumberFormat="1" applyFont="1" applyFill="1" applyBorder="1" applyAlignment="1" applyProtection="1">
      <alignment horizontal="center" vertical="center" wrapText="1"/>
      <protection locked="0"/>
    </xf>
    <xf numFmtId="49" fontId="0" fillId="10" borderId="64" xfId="0" applyNumberFormat="1"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wrapText="1"/>
      <protection locked="0"/>
    </xf>
    <xf numFmtId="0" fontId="0" fillId="0" borderId="7" xfId="0" applyFont="1" applyFill="1" applyBorder="1" applyAlignment="1" applyProtection="1">
      <alignment horizontal="center" wrapText="1"/>
      <protection locked="0"/>
    </xf>
    <xf numFmtId="0" fontId="10" fillId="0" borderId="0" xfId="4" applyFont="1" applyFill="1" applyBorder="1" applyAlignment="1" applyProtection="1">
      <alignment horizontal="center" vertical="top" wrapText="1"/>
      <protection locked="0"/>
    </xf>
    <xf numFmtId="0" fontId="65" fillId="0" borderId="0" xfId="0" applyFont="1" applyFill="1" applyBorder="1" applyAlignment="1">
      <alignment horizontal="left" wrapText="1"/>
    </xf>
    <xf numFmtId="0" fontId="4" fillId="10" borderId="5" xfId="0" applyNumberFormat="1" applyFont="1" applyFill="1" applyBorder="1" applyAlignment="1" applyProtection="1">
      <alignment horizontal="left" vertical="center" wrapText="1"/>
      <protection locked="0"/>
    </xf>
    <xf numFmtId="0" fontId="4" fillId="4" borderId="6" xfId="0" applyNumberFormat="1" applyFont="1" applyFill="1" applyBorder="1" applyAlignment="1" applyProtection="1">
      <alignment horizontal="left" vertical="center" wrapText="1"/>
      <protection locked="0"/>
    </xf>
    <xf numFmtId="0" fontId="4" fillId="4" borderId="7" xfId="0" applyNumberFormat="1" applyFont="1" applyFill="1" applyBorder="1" applyAlignment="1" applyProtection="1">
      <alignment horizontal="left" vertical="center" wrapText="1"/>
      <protection locked="0"/>
    </xf>
    <xf numFmtId="0" fontId="13" fillId="0" borderId="6" xfId="0" applyNumberFormat="1" applyFont="1" applyFill="1" applyBorder="1" applyAlignment="1">
      <alignment horizontal="left" wrapText="1"/>
    </xf>
    <xf numFmtId="49" fontId="13" fillId="0" borderId="6" xfId="0" applyNumberFormat="1" applyFont="1" applyFill="1" applyBorder="1" applyAlignment="1">
      <alignment horizontal="left"/>
    </xf>
    <xf numFmtId="49" fontId="12" fillId="0" borderId="0" xfId="4" applyNumberFormat="1" applyFont="1" applyFill="1" applyBorder="1" applyAlignment="1" applyProtection="1">
      <alignment horizontal="center" vertical="top" wrapText="1"/>
      <protection locked="0"/>
    </xf>
    <xf numFmtId="49" fontId="0" fillId="10" borderId="5" xfId="0" applyNumberFormat="1" applyFont="1" applyFill="1" applyBorder="1" applyAlignment="1" applyProtection="1">
      <alignment horizontal="left" vertical="center" wrapText="1"/>
      <protection locked="0"/>
    </xf>
    <xf numFmtId="49" fontId="0" fillId="4" borderId="7" xfId="0" applyNumberFormat="1" applyFont="1" applyFill="1" applyBorder="1" applyAlignment="1" applyProtection="1">
      <alignment horizontal="left" vertical="center" wrapText="1"/>
      <protection locked="0"/>
    </xf>
    <xf numFmtId="49" fontId="0" fillId="10" borderId="19" xfId="0" applyNumberFormat="1" applyFont="1" applyFill="1" applyBorder="1" applyAlignment="1" applyProtection="1">
      <alignment horizontal="left" vertical="center" wrapText="1"/>
      <protection locked="0"/>
    </xf>
    <xf numFmtId="49" fontId="0" fillId="4" borderId="24" xfId="0" applyNumberFormat="1" applyFont="1" applyFill="1" applyBorder="1" applyAlignment="1" applyProtection="1">
      <alignment horizontal="left" vertical="center" wrapText="1"/>
      <protection locked="0"/>
    </xf>
    <xf numFmtId="49" fontId="0" fillId="4" borderId="20" xfId="0" applyNumberFormat="1" applyFont="1" applyFill="1" applyBorder="1" applyAlignment="1" applyProtection="1">
      <alignment horizontal="left" vertical="center" wrapText="1"/>
      <protection locked="0"/>
    </xf>
    <xf numFmtId="49" fontId="13" fillId="0" borderId="24" xfId="0" applyNumberFormat="1" applyFont="1" applyFill="1" applyBorder="1" applyAlignment="1">
      <alignment horizontal="left" wrapText="1"/>
    </xf>
    <xf numFmtId="49" fontId="3" fillId="10" borderId="19" xfId="0" applyNumberFormat="1" applyFont="1" applyFill="1" applyBorder="1" applyAlignment="1" applyProtection="1">
      <alignment vertical="center" wrapText="1"/>
      <protection locked="0"/>
    </xf>
    <xf numFmtId="49" fontId="3" fillId="4" borderId="20" xfId="0" applyNumberFormat="1" applyFont="1" applyFill="1" applyBorder="1" applyAlignment="1" applyProtection="1">
      <alignment vertical="center" wrapText="1"/>
      <protection locked="0"/>
    </xf>
    <xf numFmtId="0" fontId="13" fillId="0" borderId="0" xfId="0" applyNumberFormat="1" applyFont="1" applyFill="1" applyBorder="1" applyAlignment="1">
      <alignment horizontal="left" wrapText="1"/>
    </xf>
    <xf numFmtId="0" fontId="4" fillId="10" borderId="3" xfId="0" applyNumberFormat="1" applyFont="1" applyFill="1" applyBorder="1" applyAlignment="1" applyProtection="1">
      <alignment horizontal="left" vertical="center" wrapText="1"/>
      <protection locked="0"/>
    </xf>
    <xf numFmtId="0" fontId="4" fillId="4" borderId="3" xfId="0" applyNumberFormat="1" applyFont="1" applyFill="1" applyBorder="1" applyAlignment="1" applyProtection="1">
      <alignment horizontal="left" vertical="center" wrapText="1"/>
      <protection locked="0"/>
    </xf>
    <xf numFmtId="49" fontId="13" fillId="0" borderId="0" xfId="0" applyNumberFormat="1" applyFont="1" applyFill="1" applyBorder="1" applyAlignment="1">
      <alignment wrapText="1"/>
    </xf>
    <xf numFmtId="0" fontId="56" fillId="0" borderId="0" xfId="0" applyNumberFormat="1" applyFont="1" applyFill="1" applyBorder="1" applyAlignment="1" applyProtection="1">
      <alignment horizontal="center" vertical="center" wrapText="1"/>
      <protection hidden="1"/>
    </xf>
    <xf numFmtId="49" fontId="16" fillId="0" borderId="0" xfId="0" applyNumberFormat="1" applyFont="1" applyFill="1" applyBorder="1" applyAlignment="1">
      <alignment horizont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wrapText="1"/>
    </xf>
    <xf numFmtId="49" fontId="0" fillId="10" borderId="3" xfId="0" applyNumberFormat="1" applyFont="1" applyFill="1" applyBorder="1" applyAlignment="1" applyProtection="1">
      <alignment horizontal="left" vertical="center" wrapText="1"/>
      <protection locked="0"/>
    </xf>
    <xf numFmtId="49" fontId="0" fillId="4" borderId="3" xfId="0" applyNumberFormat="1" applyFont="1" applyFill="1" applyBorder="1" applyAlignment="1" applyProtection="1">
      <alignment horizontal="left" vertical="center" wrapText="1"/>
      <protection locked="0"/>
    </xf>
    <xf numFmtId="49" fontId="0" fillId="10" borderId="3" xfId="0" quotePrefix="1" applyNumberFormat="1" applyFont="1" applyFill="1" applyBorder="1" applyAlignment="1" applyProtection="1">
      <alignment horizontal="left" vertical="center" wrapText="1"/>
      <protection locked="0"/>
    </xf>
    <xf numFmtId="49" fontId="13" fillId="0" borderId="0" xfId="0" applyNumberFormat="1" applyFont="1" applyFill="1" applyBorder="1" applyAlignment="1">
      <alignment horizontal="left" wrapText="1"/>
    </xf>
    <xf numFmtId="49" fontId="5" fillId="0" borderId="0" xfId="0" applyNumberFormat="1" applyFont="1" applyFill="1" applyBorder="1" applyAlignment="1">
      <alignment horizontal="left" wrapText="1"/>
    </xf>
    <xf numFmtId="49" fontId="4" fillId="0" borderId="0" xfId="0" applyNumberFormat="1" applyFont="1" applyFill="1" applyBorder="1" applyAlignment="1">
      <alignment horizontal="left" wrapText="1"/>
    </xf>
    <xf numFmtId="49" fontId="8" fillId="0" borderId="0" xfId="0" applyNumberFormat="1" applyFont="1" applyFill="1" applyBorder="1" applyAlignment="1">
      <alignment horizontal="left" wrapText="1"/>
    </xf>
    <xf numFmtId="49" fontId="5" fillId="0" borderId="0" xfId="0" applyNumberFormat="1" applyFont="1" applyFill="1" applyBorder="1" applyAlignment="1">
      <alignment horizontal="center" wrapText="1"/>
    </xf>
    <xf numFmtId="49" fontId="4" fillId="10" borderId="7" xfId="0" applyNumberFormat="1" applyFont="1" applyFill="1" applyBorder="1" applyAlignment="1" applyProtection="1">
      <alignment wrapText="1"/>
      <protection locked="0"/>
    </xf>
    <xf numFmtId="49" fontId="4" fillId="4" borderId="3" xfId="0" applyNumberFormat="1" applyFont="1" applyFill="1" applyBorder="1" applyAlignment="1" applyProtection="1">
      <alignment wrapText="1"/>
      <protection locked="0"/>
    </xf>
    <xf numFmtId="49" fontId="3" fillId="0" borderId="0" xfId="0" applyNumberFormat="1" applyFont="1" applyFill="1" applyBorder="1" applyAlignment="1">
      <alignment horizontal="left" wrapText="1"/>
    </xf>
    <xf numFmtId="49" fontId="4" fillId="10" borderId="21" xfId="0" applyNumberFormat="1" applyFont="1" applyFill="1" applyBorder="1" applyAlignment="1" applyProtection="1">
      <alignment vertical="center" wrapText="1"/>
      <protection locked="0"/>
    </xf>
    <xf numFmtId="49" fontId="4" fillId="4" borderId="23" xfId="0" applyNumberFormat="1" applyFont="1" applyFill="1" applyBorder="1" applyAlignment="1" applyProtection="1">
      <alignment vertical="center" wrapText="1"/>
      <protection locked="0"/>
    </xf>
    <xf numFmtId="49" fontId="13" fillId="0" borderId="6" xfId="0" applyNumberFormat="1" applyFont="1" applyFill="1" applyBorder="1" applyAlignment="1">
      <alignment horizontal="left" wrapText="1"/>
    </xf>
    <xf numFmtId="164" fontId="0" fillId="10" borderId="3" xfId="0" applyNumberFormat="1" applyFont="1" applyFill="1" applyBorder="1" applyAlignment="1" applyProtection="1">
      <alignment horizontal="left" vertical="center" wrapText="1"/>
      <protection locked="0"/>
    </xf>
    <xf numFmtId="164" fontId="0" fillId="4" borderId="3" xfId="0" applyNumberFormat="1" applyFont="1" applyFill="1" applyBorder="1" applyAlignment="1" applyProtection="1">
      <alignment horizontal="left" vertical="center" wrapText="1"/>
      <protection locked="0"/>
    </xf>
    <xf numFmtId="164" fontId="0" fillId="10" borderId="18" xfId="0" applyNumberFormat="1" applyFont="1" applyFill="1" applyBorder="1" applyAlignment="1" applyProtection="1">
      <alignment horizontal="left" vertical="center" wrapText="1"/>
      <protection locked="0"/>
    </xf>
    <xf numFmtId="164" fontId="0" fillId="4" borderId="18" xfId="0" applyNumberFormat="1" applyFont="1" applyFill="1" applyBorder="1" applyAlignment="1" applyProtection="1">
      <alignment horizontal="left" vertical="center" wrapText="1"/>
      <protection locked="0"/>
    </xf>
    <xf numFmtId="49" fontId="0" fillId="10" borderId="20" xfId="0" applyNumberFormat="1" applyFont="1" applyFill="1" applyBorder="1" applyAlignment="1" applyProtection="1">
      <alignment horizontal="left" vertical="center" wrapText="1"/>
      <protection locked="0"/>
    </xf>
    <xf numFmtId="49" fontId="39" fillId="10" borderId="21" xfId="0" applyNumberFormat="1" applyFont="1" applyFill="1" applyBorder="1" applyAlignment="1" applyProtection="1">
      <alignment horizontal="center" vertical="center" wrapText="1"/>
      <protection locked="0"/>
    </xf>
    <xf numFmtId="49" fontId="39" fillId="4" borderId="22" xfId="0" applyNumberFormat="1" applyFont="1" applyFill="1" applyBorder="1" applyAlignment="1" applyProtection="1">
      <alignment horizontal="center" vertical="center" wrapText="1"/>
      <protection locked="0"/>
    </xf>
    <xf numFmtId="49" fontId="39" fillId="4" borderId="23" xfId="0" applyNumberFormat="1" applyFont="1" applyFill="1" applyBorder="1" applyAlignment="1" applyProtection="1">
      <alignment horizontal="center" vertical="center" wrapText="1"/>
      <protection locked="0"/>
    </xf>
    <xf numFmtId="0" fontId="4" fillId="0" borderId="0" xfId="0" applyNumberFormat="1" applyFont="1" applyFill="1" applyBorder="1" applyAlignment="1">
      <alignment horizontal="left" wrapText="1"/>
    </xf>
    <xf numFmtId="49" fontId="13" fillId="0" borderId="0" xfId="0" applyNumberFormat="1" applyFont="1" applyFill="1" applyBorder="1" applyAlignment="1">
      <alignment horizontal="right" wrapText="1"/>
    </xf>
    <xf numFmtId="49" fontId="0" fillId="10" borderId="18" xfId="0" applyNumberFormat="1" applyFont="1" applyFill="1" applyBorder="1" applyAlignment="1" applyProtection="1">
      <alignment horizontal="left" vertical="center" wrapText="1"/>
      <protection locked="0"/>
    </xf>
    <xf numFmtId="49" fontId="0" fillId="4" borderId="18" xfId="0" applyNumberFormat="1" applyFont="1" applyFill="1" applyBorder="1" applyAlignment="1" applyProtection="1">
      <alignment horizontal="left" vertical="center" wrapText="1"/>
      <protection locked="0"/>
    </xf>
    <xf numFmtId="0" fontId="7" fillId="7" borderId="3" xfId="0" applyFont="1" applyFill="1" applyBorder="1" applyAlignment="1">
      <alignment horizontal="center" textRotation="90"/>
    </xf>
    <xf numFmtId="0" fontId="11" fillId="7" borderId="3" xfId="0" applyFont="1" applyFill="1" applyBorder="1" applyAlignment="1">
      <alignment horizontal="center" vertical="center" textRotation="90"/>
    </xf>
    <xf numFmtId="0" fontId="28" fillId="7" borderId="3" xfId="0" applyFont="1" applyFill="1" applyBorder="1" applyAlignment="1">
      <alignment horizontal="center" vertical="center" textRotation="90"/>
    </xf>
    <xf numFmtId="0" fontId="47" fillId="0" borderId="0" xfId="0" applyFont="1" applyAlignment="1">
      <alignment horizontal="left" vertical="top" wrapText="1"/>
    </xf>
    <xf numFmtId="0" fontId="11" fillId="7" borderId="17" xfId="0" applyFont="1" applyFill="1" applyBorder="1" applyAlignment="1">
      <alignment horizontal="center" vertical="center" textRotation="90"/>
    </xf>
    <xf numFmtId="0" fontId="11" fillId="7" borderId="1" xfId="0" applyFont="1" applyFill="1" applyBorder="1" applyAlignment="1">
      <alignment horizontal="center" vertical="center" textRotation="90"/>
    </xf>
    <xf numFmtId="0" fontId="11" fillId="7" borderId="13" xfId="0" applyFont="1" applyFill="1" applyBorder="1" applyAlignment="1">
      <alignment horizontal="center" vertical="center" textRotation="90"/>
    </xf>
    <xf numFmtId="0" fontId="21" fillId="8" borderId="6" xfId="0" applyFont="1" applyFill="1" applyBorder="1" applyAlignment="1">
      <alignment horizontal="left"/>
    </xf>
    <xf numFmtId="0" fontId="3" fillId="0" borderId="0" xfId="0" applyFont="1" applyBorder="1" applyAlignment="1">
      <alignment horizontal="center"/>
    </xf>
    <xf numFmtId="49" fontId="11" fillId="2" borderId="3" xfId="0" quotePrefix="1" applyNumberFormat="1" applyFont="1" applyFill="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15" xfId="0" applyNumberFormat="1" applyFont="1" applyFill="1" applyBorder="1" applyAlignment="1">
      <alignment horizontal="left" vertical="top" wrapText="1"/>
    </xf>
    <xf numFmtId="0" fontId="3" fillId="6" borderId="16" xfId="0" applyNumberFormat="1" applyFont="1" applyFill="1" applyBorder="1" applyAlignment="1">
      <alignment horizontal="left" vertical="top" wrapText="1"/>
    </xf>
    <xf numFmtId="0" fontId="3" fillId="6" borderId="8" xfId="0" applyNumberFormat="1" applyFont="1" applyFill="1" applyBorder="1" applyAlignment="1">
      <alignment horizontal="left" vertical="top" wrapText="1"/>
    </xf>
    <xf numFmtId="0" fontId="3" fillId="6" borderId="0" xfId="0" applyNumberFormat="1" applyFont="1" applyFill="1" applyBorder="1" applyAlignment="1">
      <alignment horizontal="left" vertical="top" wrapText="1"/>
    </xf>
    <xf numFmtId="0" fontId="3" fillId="6" borderId="9" xfId="0" applyNumberFormat="1" applyFont="1" applyFill="1" applyBorder="1" applyAlignment="1">
      <alignment horizontal="left" vertical="top" wrapText="1"/>
    </xf>
    <xf numFmtId="0" fontId="3" fillId="6" borderId="10" xfId="0" applyNumberFormat="1" applyFont="1" applyFill="1" applyBorder="1" applyAlignment="1">
      <alignment horizontal="left" vertical="top" wrapText="1"/>
    </xf>
    <xf numFmtId="0" fontId="3" fillId="6" borderId="11" xfId="0" applyNumberFormat="1" applyFont="1" applyFill="1" applyBorder="1" applyAlignment="1">
      <alignment horizontal="left" vertical="top" wrapText="1"/>
    </xf>
    <xf numFmtId="0" fontId="3" fillId="6" borderId="12" xfId="0" applyNumberFormat="1" applyFont="1" applyFill="1" applyBorder="1" applyAlignment="1">
      <alignment horizontal="left" vertical="top" wrapText="1"/>
    </xf>
    <xf numFmtId="0" fontId="38" fillId="0" borderId="17" xfId="0" applyFont="1" applyFill="1" applyBorder="1" applyAlignment="1" applyProtection="1">
      <alignment horizontal="center" vertical="center" textRotation="90"/>
      <protection hidden="1"/>
    </xf>
    <xf numFmtId="0" fontId="38" fillId="0" borderId="1" xfId="0" applyFont="1" applyFill="1" applyBorder="1" applyAlignment="1" applyProtection="1">
      <alignment horizontal="center" vertical="center" textRotation="90"/>
      <protection hidden="1"/>
    </xf>
    <xf numFmtId="0" fontId="38" fillId="0" borderId="13" xfId="0" applyFont="1" applyFill="1" applyBorder="1" applyAlignment="1" applyProtection="1">
      <alignment horizontal="center" vertical="center" textRotation="90"/>
      <protection hidden="1"/>
    </xf>
    <xf numFmtId="169" fontId="38" fillId="0" borderId="14" xfId="0" applyNumberFormat="1" applyFont="1" applyFill="1" applyBorder="1" applyAlignment="1" applyProtection="1">
      <alignment horizontal="center" vertical="center" textRotation="90"/>
      <protection hidden="1"/>
    </xf>
    <xf numFmtId="169" fontId="38" fillId="0" borderId="8" xfId="0" applyNumberFormat="1" applyFont="1" applyFill="1" applyBorder="1" applyAlignment="1" applyProtection="1">
      <alignment horizontal="center" vertical="center" textRotation="90"/>
      <protection hidden="1"/>
    </xf>
    <xf numFmtId="169" fontId="38" fillId="0" borderId="10" xfId="0" applyNumberFormat="1" applyFont="1" applyFill="1" applyBorder="1" applyAlignment="1" applyProtection="1">
      <alignment horizontal="center" vertical="center" textRotation="90"/>
      <protection hidden="1"/>
    </xf>
    <xf numFmtId="0" fontId="19" fillId="2" borderId="5" xfId="0" applyFont="1" applyFill="1" applyBorder="1" applyAlignment="1" applyProtection="1">
      <alignment horizontal="center"/>
      <protection hidden="1"/>
    </xf>
    <xf numFmtId="0" fontId="19" fillId="2" borderId="6" xfId="0" applyFont="1" applyFill="1" applyBorder="1" applyAlignment="1" applyProtection="1">
      <alignment horizontal="center"/>
      <protection hidden="1"/>
    </xf>
    <xf numFmtId="0" fontId="19" fillId="2" borderId="7" xfId="0" applyFont="1" applyFill="1" applyBorder="1" applyAlignment="1" applyProtection="1">
      <alignment horizontal="center"/>
      <protection hidden="1"/>
    </xf>
    <xf numFmtId="0" fontId="0" fillId="3" borderId="5" xfId="0" applyFill="1" applyBorder="1" applyAlignment="1">
      <alignment horizontal="left" vertical="center" wrapText="1"/>
    </xf>
    <xf numFmtId="0" fontId="0" fillId="3" borderId="7" xfId="0" applyFill="1" applyBorder="1" applyAlignment="1">
      <alignment horizontal="left" vertical="center" wrapText="1"/>
    </xf>
    <xf numFmtId="0" fontId="0" fillId="10" borderId="5" xfId="0" applyFill="1" applyBorder="1" applyAlignment="1" applyProtection="1">
      <alignment horizontal="left" vertical="center" wrapText="1"/>
      <protection locked="0"/>
    </xf>
    <xf numFmtId="0" fontId="0" fillId="10" borderId="7" xfId="0" applyFill="1" applyBorder="1" applyAlignment="1" applyProtection="1">
      <alignment horizontal="left" vertical="center" wrapText="1"/>
      <protection locked="0"/>
    </xf>
    <xf numFmtId="0" fontId="3" fillId="6" borderId="14" xfId="0" applyFont="1" applyFill="1" applyBorder="1" applyAlignment="1">
      <alignment horizontal="left" vertical="top" wrapText="1"/>
    </xf>
    <xf numFmtId="0" fontId="3" fillId="6" borderId="15" xfId="0" applyFont="1" applyFill="1" applyBorder="1" applyAlignment="1">
      <alignment horizontal="left" vertical="top" wrapText="1"/>
    </xf>
    <xf numFmtId="0" fontId="3" fillId="6" borderId="16" xfId="0" applyFont="1" applyFill="1" applyBorder="1" applyAlignment="1">
      <alignment horizontal="left" vertical="top" wrapText="1"/>
    </xf>
    <xf numFmtId="0" fontId="3" fillId="6" borderId="8" xfId="0" applyFont="1" applyFill="1" applyBorder="1" applyAlignment="1">
      <alignment horizontal="left" vertical="top" wrapText="1"/>
    </xf>
    <xf numFmtId="0" fontId="3" fillId="6" borderId="0"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11" xfId="0" applyFont="1" applyFill="1" applyBorder="1" applyAlignment="1">
      <alignment horizontal="left" vertical="top" wrapText="1"/>
    </xf>
    <xf numFmtId="0" fontId="3" fillId="6" borderId="12" xfId="0" applyFont="1" applyFill="1" applyBorder="1" applyAlignment="1">
      <alignment horizontal="left" vertical="top" wrapText="1"/>
    </xf>
    <xf numFmtId="0" fontId="0" fillId="0" borderId="14" xfId="0" applyBorder="1" applyAlignment="1" applyProtection="1">
      <alignment horizontal="left" vertical="top" wrapText="1"/>
    </xf>
    <xf numFmtId="0" fontId="0" fillId="0" borderId="15"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49" fontId="11" fillId="2" borderId="5" xfId="0" quotePrefix="1" applyNumberFormat="1" applyFont="1" applyFill="1" applyBorder="1" applyAlignment="1">
      <alignment horizontal="left" vertical="center"/>
    </xf>
    <xf numFmtId="49" fontId="11" fillId="2" borderId="6" xfId="0" quotePrefix="1" applyNumberFormat="1" applyFont="1" applyFill="1" applyBorder="1" applyAlignment="1">
      <alignment horizontal="left" vertical="center"/>
    </xf>
    <xf numFmtId="0" fontId="7" fillId="6" borderId="3" xfId="0" applyFont="1" applyFill="1" applyBorder="1" applyAlignment="1">
      <alignment horizontal="left"/>
    </xf>
    <xf numFmtId="0" fontId="7" fillId="6" borderId="17" xfId="0" applyFont="1" applyFill="1" applyBorder="1" applyAlignment="1">
      <alignment horizontal="left"/>
    </xf>
    <xf numFmtId="0" fontId="28" fillId="2" borderId="30" xfId="0" applyFont="1" applyFill="1" applyBorder="1" applyAlignment="1">
      <alignment horizontal="center" wrapText="1"/>
    </xf>
    <xf numFmtId="0" fontId="28" fillId="2" borderId="34" xfId="0" applyFont="1" applyFill="1" applyBorder="1" applyAlignment="1">
      <alignment horizontal="center" wrapText="1"/>
    </xf>
    <xf numFmtId="0" fontId="28" fillId="2" borderId="31" xfId="0" applyFont="1" applyFill="1" applyBorder="1" applyAlignment="1">
      <alignment horizontal="center" wrapText="1"/>
    </xf>
    <xf numFmtId="0" fontId="26" fillId="0" borderId="0" xfId="0" applyFont="1" applyBorder="1" applyAlignment="1">
      <alignment horizontal="center"/>
    </xf>
    <xf numFmtId="3" fontId="7" fillId="0" borderId="28" xfId="1" applyNumberFormat="1" applyFont="1" applyFill="1" applyBorder="1" applyAlignment="1">
      <alignment horizontal="center" vertical="center"/>
    </xf>
    <xf numFmtId="3" fontId="7" fillId="0" borderId="29" xfId="1" applyNumberFormat="1" applyFont="1" applyFill="1" applyBorder="1" applyAlignment="1">
      <alignment horizontal="center" vertical="center"/>
    </xf>
    <xf numFmtId="0" fontId="8" fillId="0" borderId="27" xfId="0" applyFont="1" applyBorder="1" applyAlignment="1">
      <alignment horizontal="center"/>
    </xf>
    <xf numFmtId="0" fontId="3" fillId="0" borderId="3" xfId="0" applyFont="1" applyBorder="1" applyAlignment="1">
      <alignment horizontal="left" vertical="center" wrapText="1"/>
    </xf>
    <xf numFmtId="0" fontId="1" fillId="6" borderId="5"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27" fillId="0" borderId="3" xfId="0" applyFont="1" applyBorder="1" applyAlignment="1">
      <alignment horizontal="left" vertical="center" wrapText="1"/>
    </xf>
    <xf numFmtId="0" fontId="1" fillId="6" borderId="35" xfId="0" applyFont="1" applyFill="1" applyBorder="1" applyAlignment="1">
      <alignment horizontal="center" vertical="center" wrapText="1"/>
    </xf>
    <xf numFmtId="0" fontId="7" fillId="0" borderId="44" xfId="0" applyFont="1" applyBorder="1" applyAlignment="1">
      <alignment horizontal="center" vertical="center" wrapText="1"/>
    </xf>
    <xf numFmtId="0" fontId="7" fillId="0" borderId="0" xfId="0" applyFont="1" applyBorder="1" applyAlignment="1">
      <alignment horizontal="center" vertical="center" wrapText="1"/>
    </xf>
    <xf numFmtId="0" fontId="0" fillId="0" borderId="42" xfId="0" applyFill="1" applyBorder="1" applyAlignment="1">
      <alignment horizontal="left"/>
    </xf>
    <xf numFmtId="0" fontId="7" fillId="6" borderId="3" xfId="0" applyFont="1" applyFill="1" applyBorder="1" applyAlignment="1" applyProtection="1">
      <alignment horizontal="left"/>
      <protection hidden="1"/>
    </xf>
    <xf numFmtId="0" fontId="7" fillId="6" borderId="17" xfId="0" applyFont="1" applyFill="1" applyBorder="1" applyAlignment="1" applyProtection="1">
      <alignment horizontal="left"/>
      <protection hidden="1"/>
    </xf>
    <xf numFmtId="0" fontId="0" fillId="0" borderId="3" xfId="0" applyBorder="1" applyAlignment="1">
      <alignment horizontal="left" vertical="top" wrapText="1"/>
    </xf>
    <xf numFmtId="0" fontId="0" fillId="0" borderId="0" xfId="0"/>
    <xf numFmtId="49" fontId="3" fillId="6" borderId="8" xfId="0" applyNumberFormat="1" applyFont="1" applyFill="1" applyBorder="1" applyAlignment="1">
      <alignment horizontal="left" vertical="center" wrapText="1"/>
    </xf>
    <xf numFmtId="49" fontId="3" fillId="6" borderId="0" xfId="0" applyNumberFormat="1" applyFont="1" applyFill="1" applyBorder="1" applyAlignment="1">
      <alignment horizontal="left" vertical="center" wrapText="1"/>
    </xf>
    <xf numFmtId="49" fontId="3" fillId="6" borderId="9" xfId="0" applyNumberFormat="1"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49" fontId="7" fillId="2" borderId="14" xfId="0" quotePrefix="1" applyNumberFormat="1" applyFont="1" applyFill="1" applyBorder="1" applyAlignment="1">
      <alignment horizontal="left" vertical="center"/>
    </xf>
    <xf numFmtId="0" fontId="7" fillId="2" borderId="15" xfId="0" applyNumberFormat="1" applyFont="1" applyFill="1" applyBorder="1" applyAlignment="1">
      <alignment horizontal="left" vertical="center"/>
    </xf>
    <xf numFmtId="0" fontId="7" fillId="2" borderId="16" xfId="0" applyNumberFormat="1" applyFont="1" applyFill="1" applyBorder="1" applyAlignment="1">
      <alignment horizontal="left" vertical="center"/>
    </xf>
    <xf numFmtId="49" fontId="7" fillId="2" borderId="3" xfId="0" quotePrefix="1" applyNumberFormat="1" applyFont="1" applyFill="1" applyBorder="1" applyAlignment="1">
      <alignment horizontal="left" vertical="center"/>
    </xf>
    <xf numFmtId="0" fontId="7" fillId="2" borderId="3" xfId="0" applyNumberFormat="1" applyFont="1" applyFill="1" applyBorder="1" applyAlignment="1">
      <alignment horizontal="left" vertical="center"/>
    </xf>
    <xf numFmtId="0" fontId="3" fillId="6" borderId="10" xfId="0" applyNumberFormat="1" applyFont="1" applyFill="1" applyBorder="1" applyAlignment="1" applyProtection="1">
      <alignment horizontal="left" vertical="top" wrapText="1"/>
    </xf>
    <xf numFmtId="0" fontId="3" fillId="6" borderId="11" xfId="0" applyNumberFormat="1" applyFont="1" applyFill="1" applyBorder="1" applyAlignment="1" applyProtection="1">
      <alignment horizontal="left" vertical="top" wrapText="1"/>
    </xf>
    <xf numFmtId="0" fontId="3" fillId="6" borderId="12" xfId="0" applyNumberFormat="1" applyFont="1" applyFill="1" applyBorder="1" applyAlignment="1" applyProtection="1">
      <alignment horizontal="left" vertical="top" wrapText="1"/>
    </xf>
    <xf numFmtId="0" fontId="0" fillId="3" borderId="6" xfId="0" applyFill="1" applyBorder="1" applyAlignment="1">
      <alignment horizontal="center" vertical="center"/>
    </xf>
    <xf numFmtId="0" fontId="0" fillId="3" borderId="7" xfId="0" applyFill="1" applyBorder="1" applyAlignment="1">
      <alignment horizontal="center" vertical="center"/>
    </xf>
    <xf numFmtId="165" fontId="0" fillId="10" borderId="5" xfId="1" applyNumberFormat="1" applyFont="1" applyFill="1" applyBorder="1" applyAlignment="1" applyProtection="1">
      <alignment vertical="center"/>
      <protection locked="0"/>
    </xf>
    <xf numFmtId="165" fontId="0" fillId="4" borderId="6" xfId="1" applyNumberFormat="1" applyFont="1" applyFill="1" applyBorder="1" applyAlignment="1" applyProtection="1">
      <alignment vertical="center"/>
      <protection locked="0"/>
    </xf>
    <xf numFmtId="165" fontId="0" fillId="4" borderId="7" xfId="1" applyNumberFormat="1" applyFont="1" applyFill="1" applyBorder="1" applyAlignment="1" applyProtection="1">
      <alignment vertical="center"/>
      <protection locked="0"/>
    </xf>
    <xf numFmtId="49" fontId="10" fillId="6" borderId="8" xfId="4" applyNumberFormat="1" applyFont="1" applyFill="1" applyBorder="1" applyAlignment="1" applyProtection="1">
      <alignment horizontal="left" wrapText="1"/>
      <protection locked="0"/>
    </xf>
    <xf numFmtId="49" fontId="10" fillId="6" borderId="0" xfId="4" applyNumberFormat="1" applyFont="1" applyFill="1" applyBorder="1" applyAlignment="1" applyProtection="1">
      <alignment horizontal="left" wrapText="1"/>
      <protection locked="0"/>
    </xf>
    <xf numFmtId="49" fontId="10" fillId="6" borderId="9" xfId="4" applyNumberFormat="1" applyFont="1" applyFill="1" applyBorder="1" applyAlignment="1" applyProtection="1">
      <alignment horizontal="left" wrapText="1"/>
      <protection locked="0"/>
    </xf>
    <xf numFmtId="0" fontId="27" fillId="6" borderId="10" xfId="0" applyNumberFormat="1" applyFont="1" applyFill="1" applyBorder="1" applyAlignment="1">
      <alignment horizontal="left" vertical="top" wrapText="1"/>
    </xf>
    <xf numFmtId="0" fontId="27" fillId="6" borderId="11" xfId="0" applyNumberFormat="1" applyFont="1" applyFill="1" applyBorder="1" applyAlignment="1">
      <alignment horizontal="left" vertical="top" wrapText="1"/>
    </xf>
    <xf numFmtId="0" fontId="27" fillId="6" borderId="12" xfId="0" applyNumberFormat="1" applyFont="1" applyFill="1" applyBorder="1" applyAlignment="1">
      <alignment horizontal="left" vertical="top"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49" fontId="3" fillId="6" borderId="14" xfId="0" applyNumberFormat="1" applyFont="1" applyFill="1" applyBorder="1" applyAlignment="1">
      <alignment horizontal="left" vertical="center" wrapText="1"/>
    </xf>
    <xf numFmtId="49" fontId="3" fillId="6" borderId="15" xfId="0" applyNumberFormat="1" applyFont="1" applyFill="1" applyBorder="1" applyAlignment="1">
      <alignment horizontal="left" vertical="center" wrapText="1"/>
    </xf>
    <xf numFmtId="0" fontId="3" fillId="6" borderId="5" xfId="0" applyNumberFormat="1" applyFont="1" applyFill="1" applyBorder="1" applyAlignment="1">
      <alignment horizontal="left" vertical="top" wrapText="1"/>
    </xf>
    <xf numFmtId="0" fontId="3" fillId="6" borderId="6" xfId="0" applyNumberFormat="1" applyFont="1" applyFill="1" applyBorder="1" applyAlignment="1">
      <alignment horizontal="left" vertical="top" wrapText="1"/>
    </xf>
    <xf numFmtId="0" fontId="3" fillId="6" borderId="7" xfId="0" applyNumberFormat="1" applyFont="1" applyFill="1" applyBorder="1" applyAlignment="1">
      <alignment horizontal="left" vertical="top" wrapText="1"/>
    </xf>
    <xf numFmtId="0" fontId="6" fillId="3" borderId="6" xfId="0" applyFont="1" applyFill="1" applyBorder="1" applyAlignment="1">
      <alignment horizontal="center" vertical="center" wrapText="1"/>
    </xf>
    <xf numFmtId="49" fontId="7" fillId="2" borderId="3" xfId="0" applyNumberFormat="1" applyFont="1" applyFill="1" applyBorder="1" applyAlignment="1">
      <alignment horizontal="left" vertical="center"/>
    </xf>
    <xf numFmtId="49" fontId="15" fillId="2" borderId="3" xfId="0" quotePrefix="1" applyNumberFormat="1" applyFont="1" applyFill="1" applyBorder="1" applyAlignment="1">
      <alignment horizontal="left" vertical="center"/>
    </xf>
    <xf numFmtId="49" fontId="3" fillId="6" borderId="8" xfId="0" applyNumberFormat="1" applyFont="1" applyFill="1" applyBorder="1" applyAlignment="1" applyProtection="1">
      <alignment horizontal="left" wrapText="1"/>
    </xf>
    <xf numFmtId="49" fontId="3" fillId="6" borderId="0" xfId="0" applyNumberFormat="1" applyFont="1" applyFill="1" applyBorder="1" applyAlignment="1" applyProtection="1">
      <alignment horizontal="left" wrapText="1"/>
    </xf>
    <xf numFmtId="49" fontId="3" fillId="6" borderId="9" xfId="0" applyNumberFormat="1" applyFont="1" applyFill="1" applyBorder="1" applyAlignment="1" applyProtection="1">
      <alignment horizontal="left" wrapText="1"/>
    </xf>
    <xf numFmtId="0" fontId="6" fillId="3" borderId="3" xfId="0" applyFont="1" applyFill="1" applyBorder="1" applyAlignment="1">
      <alignment horizontal="center" vertical="center" wrapText="1"/>
    </xf>
    <xf numFmtId="165" fontId="0" fillId="10" borderId="6" xfId="1" applyNumberFormat="1" applyFont="1" applyFill="1" applyBorder="1" applyAlignment="1" applyProtection="1">
      <alignment vertical="center"/>
      <protection locked="0"/>
    </xf>
    <xf numFmtId="165" fontId="0" fillId="10" borderId="7" xfId="1" applyNumberFormat="1" applyFont="1" applyFill="1" applyBorder="1" applyAlignment="1" applyProtection="1">
      <alignment vertical="center"/>
      <protection locked="0"/>
    </xf>
    <xf numFmtId="0" fontId="7" fillId="2" borderId="5" xfId="0" applyNumberFormat="1" applyFont="1" applyFill="1" applyBorder="1" applyAlignment="1">
      <alignment horizontal="left" vertical="center"/>
    </xf>
    <xf numFmtId="0" fontId="7" fillId="2" borderId="6" xfId="0" applyNumberFormat="1" applyFont="1" applyFill="1" applyBorder="1" applyAlignment="1">
      <alignment horizontal="left" vertical="center"/>
    </xf>
    <xf numFmtId="0" fontId="7" fillId="2" borderId="7" xfId="0" applyNumberFormat="1" applyFont="1" applyFill="1" applyBorder="1" applyAlignment="1">
      <alignment horizontal="left" vertical="center"/>
    </xf>
    <xf numFmtId="49" fontId="7" fillId="2" borderId="5" xfId="0" applyNumberFormat="1" applyFont="1" applyFill="1" applyBorder="1" applyAlignment="1">
      <alignment horizontal="left" vertical="center"/>
    </xf>
    <xf numFmtId="49" fontId="7" fillId="2" borderId="6" xfId="0" applyNumberFormat="1" applyFont="1" applyFill="1" applyBorder="1" applyAlignment="1">
      <alignment horizontal="left" vertical="center"/>
    </xf>
    <xf numFmtId="49" fontId="7" fillId="2" borderId="7" xfId="0" applyNumberFormat="1" applyFont="1" applyFill="1" applyBorder="1" applyAlignment="1">
      <alignment horizontal="left" vertical="center"/>
    </xf>
    <xf numFmtId="49" fontId="3" fillId="6" borderId="5" xfId="0" applyNumberFormat="1" applyFont="1" applyFill="1" applyBorder="1" applyAlignment="1">
      <alignment horizontal="left" vertical="top" wrapText="1"/>
    </xf>
    <xf numFmtId="49" fontId="3" fillId="6" borderId="6" xfId="0" applyNumberFormat="1" applyFont="1" applyFill="1" applyBorder="1" applyAlignment="1">
      <alignment horizontal="left" vertical="top" wrapText="1"/>
    </xf>
    <xf numFmtId="49" fontId="3" fillId="6" borderId="7" xfId="0" applyNumberFormat="1" applyFont="1" applyFill="1" applyBorder="1" applyAlignment="1">
      <alignment horizontal="left" vertical="top"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7" fillId="2" borderId="5" xfId="0" quotePrefix="1" applyNumberFormat="1" applyFont="1" applyFill="1" applyBorder="1" applyAlignment="1">
      <alignment horizontal="left" vertical="center"/>
    </xf>
    <xf numFmtId="0" fontId="0" fillId="10" borderId="5" xfId="1" applyNumberFormat="1" applyFont="1" applyFill="1" applyBorder="1" applyAlignment="1" applyProtection="1">
      <alignment horizontal="center" vertical="center"/>
      <protection locked="0"/>
    </xf>
    <xf numFmtId="0" fontId="0" fillId="10" borderId="7" xfId="1" applyNumberFormat="1" applyFont="1" applyFill="1" applyBorder="1" applyAlignment="1" applyProtection="1">
      <alignment horizontal="center" vertical="center"/>
      <protection locked="0"/>
    </xf>
    <xf numFmtId="0" fontId="0" fillId="3" borderId="5"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49" fontId="15" fillId="2" borderId="5" xfId="0" quotePrefix="1" applyNumberFormat="1" applyFont="1" applyFill="1" applyBorder="1" applyAlignment="1">
      <alignment horizontal="left" vertical="center"/>
    </xf>
    <xf numFmtId="49" fontId="15" fillId="2" borderId="6" xfId="0" quotePrefix="1" applyNumberFormat="1" applyFont="1" applyFill="1" applyBorder="1" applyAlignment="1">
      <alignment horizontal="left" vertical="center"/>
    </xf>
    <xf numFmtId="49" fontId="15" fillId="2" borderId="7" xfId="0" quotePrefix="1" applyNumberFormat="1" applyFont="1" applyFill="1" applyBorder="1" applyAlignment="1">
      <alignment horizontal="left" vertical="center"/>
    </xf>
    <xf numFmtId="49" fontId="7" fillId="2" borderId="5" xfId="0" quotePrefix="1" applyNumberFormat="1" applyFont="1" applyFill="1" applyBorder="1" applyAlignment="1">
      <alignment horizontal="left" vertical="center"/>
    </xf>
    <xf numFmtId="49" fontId="3" fillId="10" borderId="3" xfId="0" quotePrefix="1" applyNumberFormat="1" applyFont="1" applyFill="1" applyBorder="1" applyAlignment="1" applyProtection="1">
      <alignment vertical="top" wrapText="1"/>
      <protection locked="0"/>
    </xf>
    <xf numFmtId="0" fontId="4" fillId="0" borderId="3" xfId="0" applyFont="1" applyFill="1" applyBorder="1" applyAlignment="1">
      <alignment horizontal="left" vertical="top" wrapText="1"/>
    </xf>
    <xf numFmtId="0" fontId="3" fillId="0" borderId="3" xfId="0" applyFont="1" applyFill="1" applyBorder="1" applyAlignment="1">
      <alignment horizontal="left" vertical="top" wrapText="1"/>
    </xf>
    <xf numFmtId="0" fontId="5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4" fillId="0" borderId="3" xfId="0" applyNumberFormat="1"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3" xfId="0" applyFont="1" applyFill="1" applyBorder="1" applyAlignment="1">
      <alignment vertical="center" wrapText="1"/>
    </xf>
    <xf numFmtId="49" fontId="3" fillId="6" borderId="14" xfId="0" quotePrefix="1" applyNumberFormat="1" applyFont="1" applyFill="1" applyBorder="1" applyAlignment="1">
      <alignment horizontal="left" vertical="top" wrapText="1"/>
    </xf>
    <xf numFmtId="49" fontId="3" fillId="6" borderId="15" xfId="0" quotePrefix="1" applyNumberFormat="1" applyFont="1" applyFill="1" applyBorder="1" applyAlignment="1">
      <alignment horizontal="left" vertical="top"/>
    </xf>
    <xf numFmtId="49" fontId="3" fillId="6" borderId="16" xfId="0" quotePrefix="1" applyNumberFormat="1" applyFont="1" applyFill="1" applyBorder="1" applyAlignment="1">
      <alignment horizontal="left" vertical="top"/>
    </xf>
    <xf numFmtId="49" fontId="7" fillId="2" borderId="15" xfId="0" quotePrefix="1" applyNumberFormat="1" applyFont="1" applyFill="1" applyBorder="1" applyAlignment="1">
      <alignment horizontal="left" vertical="center"/>
    </xf>
    <xf numFmtId="49" fontId="7" fillId="2" borderId="16" xfId="0" quotePrefix="1" applyNumberFormat="1" applyFont="1" applyFill="1" applyBorder="1" applyAlignment="1">
      <alignment horizontal="left" vertical="center"/>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49" fontId="9" fillId="6" borderId="10" xfId="4" quotePrefix="1" applyNumberFormat="1" applyFill="1" applyBorder="1" applyAlignment="1" applyProtection="1">
      <alignment horizontal="left" vertical="top" wrapText="1"/>
      <protection locked="0"/>
    </xf>
    <xf numFmtId="49" fontId="9" fillId="6" borderId="11" xfId="4" quotePrefix="1" applyNumberFormat="1" applyFill="1" applyBorder="1" applyAlignment="1" applyProtection="1">
      <alignment horizontal="left" vertical="top" wrapText="1"/>
      <protection locked="0"/>
    </xf>
    <xf numFmtId="49" fontId="9" fillId="6" borderId="12" xfId="4" quotePrefix="1" applyNumberFormat="1" applyFill="1" applyBorder="1" applyAlignment="1" applyProtection="1">
      <alignment horizontal="left" vertical="top" wrapText="1"/>
      <protection locked="0"/>
    </xf>
    <xf numFmtId="0" fontId="4" fillId="0" borderId="5" xfId="0" applyFont="1" applyFill="1" applyBorder="1" applyAlignment="1">
      <alignment vertical="center" wrapText="1"/>
    </xf>
    <xf numFmtId="0" fontId="4" fillId="0" borderId="7" xfId="0" applyFont="1" applyFill="1" applyBorder="1" applyAlignment="1">
      <alignment vertical="center" wrapText="1"/>
    </xf>
    <xf numFmtId="0" fontId="4" fillId="0" borderId="13" xfId="0" applyFont="1" applyFill="1" applyBorder="1" applyAlignment="1">
      <alignment vertical="center" wrapText="1"/>
    </xf>
    <xf numFmtId="0" fontId="4" fillId="0" borderId="3" xfId="0" applyFont="1" applyFill="1" applyBorder="1" applyAlignment="1">
      <alignment vertical="top" wrapText="1"/>
    </xf>
    <xf numFmtId="0" fontId="4" fillId="0" borderId="5" xfId="0" applyFont="1" applyFill="1" applyBorder="1" applyAlignment="1">
      <alignment vertical="top" wrapText="1"/>
    </xf>
    <xf numFmtId="0" fontId="4" fillId="0" borderId="7" xfId="0" applyFont="1" applyFill="1" applyBorder="1" applyAlignment="1">
      <alignment vertical="top" wrapText="1"/>
    </xf>
    <xf numFmtId="49" fontId="3" fillId="6" borderId="5" xfId="0" applyNumberFormat="1" applyFont="1" applyFill="1" applyBorder="1" applyAlignment="1" applyProtection="1">
      <alignment horizontal="left" vertical="top" wrapText="1"/>
    </xf>
    <xf numFmtId="49" fontId="3" fillId="6" borderId="15" xfId="0" applyNumberFormat="1" applyFont="1" applyFill="1" applyBorder="1" applyAlignment="1" applyProtection="1">
      <alignment horizontal="left" vertical="top" wrapText="1"/>
    </xf>
    <xf numFmtId="49" fontId="3" fillId="6" borderId="6" xfId="0" applyNumberFormat="1" applyFont="1" applyFill="1" applyBorder="1" applyAlignment="1" applyProtection="1">
      <alignment horizontal="left" vertical="top" wrapText="1"/>
    </xf>
    <xf numFmtId="49" fontId="3" fillId="6" borderId="7" xfId="0" applyNumberFormat="1" applyFont="1" applyFill="1" applyBorder="1" applyAlignment="1" applyProtection="1">
      <alignment horizontal="left" vertical="top" wrapText="1"/>
    </xf>
    <xf numFmtId="0" fontId="6" fillId="3" borderId="5"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0" fillId="3" borderId="5" xfId="1" applyNumberFormat="1" applyFont="1" applyFill="1" applyBorder="1" applyAlignment="1" applyProtection="1">
      <alignment horizontal="center" vertical="center"/>
    </xf>
    <xf numFmtId="0" fontId="0" fillId="3" borderId="6" xfId="1" applyNumberFormat="1" applyFont="1" applyFill="1" applyBorder="1" applyAlignment="1" applyProtection="1">
      <alignment horizontal="center" vertical="center"/>
    </xf>
    <xf numFmtId="0" fontId="0" fillId="3" borderId="7" xfId="1" applyNumberFormat="1" applyFont="1" applyFill="1" applyBorder="1" applyAlignment="1" applyProtection="1">
      <alignment horizontal="center" vertical="center"/>
    </xf>
    <xf numFmtId="49" fontId="3" fillId="6" borderId="15" xfId="0" applyNumberFormat="1" applyFont="1" applyFill="1" applyBorder="1" applyAlignment="1">
      <alignment horizontal="left" vertical="top" wrapText="1"/>
    </xf>
    <xf numFmtId="0" fontId="0" fillId="10" borderId="3" xfId="1" applyNumberFormat="1" applyFont="1" applyFill="1" applyBorder="1" applyAlignment="1" applyProtection="1">
      <alignment horizontal="center" vertical="center"/>
      <protection locked="0"/>
    </xf>
    <xf numFmtId="0" fontId="0" fillId="3" borderId="3" xfId="1" applyNumberFormat="1" applyFont="1" applyFill="1" applyBorder="1" applyAlignment="1">
      <alignment horizontal="center" vertical="center"/>
    </xf>
    <xf numFmtId="0" fontId="0" fillId="10" borderId="6" xfId="1" applyNumberFormat="1" applyFont="1" applyFill="1" applyBorder="1" applyAlignment="1" applyProtection="1">
      <alignment horizontal="center" vertical="center"/>
      <protection locked="0"/>
    </xf>
    <xf numFmtId="167" fontId="3" fillId="0" borderId="5" xfId="2" applyNumberFormat="1" applyFont="1" applyBorder="1" applyAlignment="1">
      <alignment horizontal="center" vertical="center"/>
    </xf>
    <xf numFmtId="167" fontId="3" fillId="0" borderId="7" xfId="2" applyNumberFormat="1" applyFont="1" applyBorder="1" applyAlignment="1">
      <alignment horizontal="center" vertical="center"/>
    </xf>
    <xf numFmtId="0" fontId="3" fillId="0" borderId="6" xfId="0" applyFont="1" applyBorder="1" applyAlignment="1">
      <alignment horizontal="center" vertical="center" wrapText="1"/>
    </xf>
    <xf numFmtId="0" fontId="0" fillId="3" borderId="6" xfId="1" applyNumberFormat="1" applyFont="1" applyFill="1" applyBorder="1" applyAlignment="1">
      <alignment horizontal="center" vertical="center"/>
    </xf>
    <xf numFmtId="0" fontId="0" fillId="3" borderId="7" xfId="1" applyNumberFormat="1" applyFont="1" applyFill="1" applyBorder="1" applyAlignment="1">
      <alignment horizontal="center" vertical="center"/>
    </xf>
    <xf numFmtId="0" fontId="60" fillId="3" borderId="6" xfId="1" applyNumberFormat="1" applyFont="1" applyFill="1" applyBorder="1" applyAlignment="1">
      <alignment horizontal="center" vertical="center"/>
    </xf>
    <xf numFmtId="0" fontId="60" fillId="3" borderId="7" xfId="1" applyNumberFormat="1" applyFont="1" applyFill="1" applyBorder="1" applyAlignment="1">
      <alignment horizontal="center" vertical="center"/>
    </xf>
    <xf numFmtId="165" fontId="0" fillId="10" borderId="5" xfId="1" applyNumberFormat="1" applyFont="1" applyFill="1" applyBorder="1" applyAlignment="1" applyProtection="1">
      <alignment horizontal="center" vertical="center"/>
      <protection locked="0"/>
    </xf>
    <xf numFmtId="165" fontId="0" fillId="10" borderId="7" xfId="1" applyNumberFormat="1" applyFont="1" applyFill="1" applyBorder="1" applyAlignment="1" applyProtection="1">
      <alignment horizontal="center" vertical="center"/>
      <protection locked="0"/>
    </xf>
    <xf numFmtId="9" fontId="0" fillId="10" borderId="3" xfId="0" applyNumberFormat="1" applyFill="1" applyBorder="1" applyAlignment="1" applyProtection="1">
      <alignment vertical="center"/>
      <protection locked="0"/>
    </xf>
  </cellXfs>
  <cellStyles count="6">
    <cellStyle name="Comma" xfId="1" builtinId="3"/>
    <cellStyle name="Currency" xfId="2" builtinId="4"/>
    <cellStyle name="Hyperlink" xfId="4" builtinId="8"/>
    <cellStyle name="Normal" xfId="0" builtinId="0"/>
    <cellStyle name="Normal 4" xfId="5" xr:uid="{00000000-0005-0000-0000-000004000000}"/>
    <cellStyle name="Percent" xfId="3" builtinId="5"/>
  </cellStyles>
  <dxfs count="127">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7" formatCode="&quot;$&quot;#,##0.00"/>
      <fill>
        <patternFill patternType="none">
          <fgColor indexed="64"/>
          <bgColor indexed="65"/>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left"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bgColor auto="1"/>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bgColor auto="1"/>
        </patternFill>
      </fill>
      <alignment horizontal="left" textRotation="0" wrapText="0" indent="0" justifyLastLine="0" shrinkToFit="0" readingOrder="0"/>
    </dxf>
    <dxf>
      <border>
        <bottom style="thin">
          <color indexed="64"/>
        </bottom>
      </border>
    </dxf>
    <dxf>
      <alignment vertical="center"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textRotation="0" indent="0" justifyLastLine="0" shrinkToFit="0" readingOrder="0"/>
    </dxf>
    <dxf>
      <border diagonalUp="0" diagonalDown="0">
        <left style="thin">
          <color indexed="64"/>
        </left>
        <right style="thin">
          <color indexed="64"/>
        </right>
        <top style="thin">
          <color indexed="64"/>
        </top>
        <bottom style="thin">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diagonalUp="0" diagonalDown="0">
        <left style="thin">
          <color indexed="64"/>
        </left>
        <right style="thin">
          <color indexed="64"/>
        </right>
        <top style="thin">
          <color indexed="64"/>
        </top>
        <bottom style="thin">
          <color indexed="64"/>
        </bottom>
      </border>
    </dxf>
    <dxf>
      <alignment horizontal="center" textRotation="0"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scheme val="minor"/>
      </font>
      <fill>
        <patternFill patternType="solid">
          <fgColor indexed="64"/>
          <bgColor rgb="FF00B05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scheme val="minor"/>
      </font>
      <fill>
        <patternFill patternType="solid">
          <fgColor indexed="64"/>
          <bgColor rgb="FF00B05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scheme val="minor"/>
      </font>
      <fill>
        <patternFill patternType="solid">
          <fgColor indexed="64"/>
          <bgColor rgb="FF00B05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scheme val="minor"/>
      </font>
      <fill>
        <patternFill patternType="solid">
          <fgColor indexed="64"/>
          <bgColor rgb="FF00B05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scheme val="minor"/>
      </font>
      <fill>
        <patternFill patternType="solid">
          <fgColor indexed="64"/>
          <bgColor rgb="FF00B05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style="thin">
          <color indexed="64"/>
        </right>
        <top style="thin">
          <color indexed="64"/>
        </top>
        <bottom style="thin">
          <color indexed="64"/>
        </bottom>
      </border>
      <protection locked="1" hidden="1"/>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1" hidden="1"/>
    </dxf>
    <dxf>
      <font>
        <strike val="0"/>
        <outline val="0"/>
        <shadow val="0"/>
        <u val="none"/>
        <vertAlign val="baseline"/>
        <sz val="12"/>
        <name val="Calibri"/>
        <scheme val="minor"/>
      </font>
      <alignment horizontal="general" vertical="bottom"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protection locked="1" hidden="1"/>
    </dxf>
    <dxf>
      <border>
        <bottom style="thin">
          <color indexed="64"/>
        </bottom>
      </border>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protection locked="0" hidden="0"/>
    </dxf>
    <dxf>
      <border>
        <bottom style="thin">
          <color indexed="64"/>
        </bottom>
      </border>
    </dxf>
    <dxf>
      <font>
        <strike val="0"/>
        <outline val="0"/>
        <shadow val="0"/>
        <u val="none"/>
        <vertAlign val="baseline"/>
        <sz val="11"/>
        <color auto="1"/>
        <name val="Calibri"/>
        <scheme val="minor"/>
      </font>
      <alignment horizont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theme="9" tint="-0.24994659260841701"/>
      </font>
    </dxf>
    <dxf>
      <font>
        <color rgb="FFC00000"/>
      </font>
    </dxf>
    <dxf>
      <font>
        <color theme="9" tint="-0.24994659260841701"/>
      </font>
    </dxf>
    <dxf>
      <font>
        <color rgb="FFC00000"/>
      </font>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strike val="0"/>
        <condense val="0"/>
        <extend val="0"/>
        <outline val="0"/>
        <shadow val="0"/>
        <u val="none"/>
        <vertAlign val="baseline"/>
        <sz val="11"/>
        <color theme="1"/>
        <name val="Calibri"/>
        <family val="2"/>
        <scheme val="minor"/>
      </font>
      <numFmt numFmtId="0" formatCode="General"/>
      <alignment horizontal="general"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auto="1"/>
        <name val="Calibri"/>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auto="1"/>
        <name val="Calibri"/>
        <scheme val="none"/>
      </font>
      <numFmt numFmtId="30" formatCode="@"/>
      <alignment horizontal="general" vertical="bottom" textRotation="0" wrapText="0"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strike val="0"/>
        <condense val="0"/>
        <extend val="0"/>
        <outline val="0"/>
        <shadow val="0"/>
        <u val="none"/>
        <vertAlign val="baseline"/>
        <sz val="10"/>
        <color auto="1"/>
        <name val="Calibri"/>
        <scheme val="none"/>
      </font>
      <alignment horizontal="general" vertical="bottom" textRotation="0" wrapText="0" indent="0" justifyLastLine="0" shrinkToFit="0" readingOrder="0"/>
    </dxf>
    <dxf>
      <font>
        <b val="0"/>
        <i/>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auto="1"/>
        <name val="Calibri"/>
        <scheme val="none"/>
      </font>
      <fill>
        <patternFill patternType="none">
          <fgColor indexed="64"/>
          <bgColor indexed="65"/>
        </patternFill>
      </fil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ont>
        <b val="0"/>
        <i/>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auto="1"/>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center" textRotation="0" wrapText="0" indent="0" justifyLastLine="0" shrinkToFit="0" readingOrder="0"/>
    </dxf>
    <dxf>
      <font>
        <b val="0"/>
        <i/>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auto="1"/>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center" textRotation="0" wrapText="0" indent="0" justifyLastLine="0" shrinkToFit="0" readingOrder="0"/>
    </dxf>
    <dxf>
      <font>
        <b val="0"/>
        <i/>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auto="1"/>
        <name val="Calibri"/>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s>
  <tableStyles count="0" defaultTableStyle="TableStyleMedium2" defaultPivotStyle="PivotStyleLight16"/>
  <colors>
    <mruColors>
      <color rgb="FF339933"/>
      <color rgb="FF008000"/>
      <color rgb="FFFFFF99"/>
      <color rgb="FFFFFFCC"/>
      <color rgb="FFB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fmlaLink="AF53"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29631</xdr:colOff>
      <xdr:row>0</xdr:row>
      <xdr:rowOff>69144</xdr:rowOff>
    </xdr:from>
    <xdr:to>
      <xdr:col>4</xdr:col>
      <xdr:colOff>6857</xdr:colOff>
      <xdr:row>5</xdr:row>
      <xdr:rowOff>178652</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520" y="69144"/>
          <a:ext cx="7498448" cy="1068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184150</xdr:colOff>
          <xdr:row>39</xdr:row>
          <xdr:rowOff>203200</xdr:rowOff>
        </xdr:from>
        <xdr:to>
          <xdr:col>3</xdr:col>
          <xdr:colOff>406400</xdr:colOff>
          <xdr:row>41</xdr:row>
          <xdr:rowOff>6350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615950</xdr:colOff>
          <xdr:row>39</xdr:row>
          <xdr:rowOff>196850</xdr:rowOff>
        </xdr:from>
        <xdr:to>
          <xdr:col>3</xdr:col>
          <xdr:colOff>844550</xdr:colOff>
          <xdr:row>41</xdr:row>
          <xdr:rowOff>6350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1130300</xdr:colOff>
          <xdr:row>39</xdr:row>
          <xdr:rowOff>203200</xdr:rowOff>
        </xdr:from>
        <xdr:to>
          <xdr:col>3</xdr:col>
          <xdr:colOff>1358900</xdr:colOff>
          <xdr:row>41</xdr:row>
          <xdr:rowOff>6350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1593850</xdr:colOff>
          <xdr:row>39</xdr:row>
          <xdr:rowOff>203200</xdr:rowOff>
        </xdr:from>
        <xdr:to>
          <xdr:col>3</xdr:col>
          <xdr:colOff>1828800</xdr:colOff>
          <xdr:row>40</xdr:row>
          <xdr:rowOff>215900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1587500</xdr:colOff>
          <xdr:row>40</xdr:row>
          <xdr:rowOff>203200</xdr:rowOff>
        </xdr:from>
        <xdr:to>
          <xdr:col>3</xdr:col>
          <xdr:colOff>1816100</xdr:colOff>
          <xdr:row>42</xdr:row>
          <xdr:rowOff>6350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1130300</xdr:colOff>
          <xdr:row>40</xdr:row>
          <xdr:rowOff>190500</xdr:rowOff>
        </xdr:from>
        <xdr:to>
          <xdr:col>3</xdr:col>
          <xdr:colOff>1358900</xdr:colOff>
          <xdr:row>42</xdr:row>
          <xdr:rowOff>6350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40</xdr:row>
          <xdr:rowOff>203200</xdr:rowOff>
        </xdr:from>
        <xdr:to>
          <xdr:col>3</xdr:col>
          <xdr:colOff>819150</xdr:colOff>
          <xdr:row>42</xdr:row>
          <xdr:rowOff>6350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40</xdr:row>
          <xdr:rowOff>215900</xdr:rowOff>
        </xdr:from>
        <xdr:to>
          <xdr:col>3</xdr:col>
          <xdr:colOff>400050</xdr:colOff>
          <xdr:row>41</xdr:row>
          <xdr:rowOff>215900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336550</xdr:colOff>
          <xdr:row>17</xdr:row>
          <xdr:rowOff>228600</xdr:rowOff>
        </xdr:from>
        <xdr:to>
          <xdr:col>2</xdr:col>
          <xdr:colOff>1270000</xdr:colOff>
          <xdr:row>19</xdr:row>
          <xdr:rowOff>25400</xdr:rowOff>
        </xdr:to>
        <xdr:sp macro="" textlink="">
          <xdr:nvSpPr>
            <xdr:cNvPr id="17418" name="Option Button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Lighting Zone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19</xdr:row>
          <xdr:rowOff>88900</xdr:rowOff>
        </xdr:from>
        <xdr:to>
          <xdr:col>2</xdr:col>
          <xdr:colOff>1270000</xdr:colOff>
          <xdr:row>19</xdr:row>
          <xdr:rowOff>323850</xdr:rowOff>
        </xdr:to>
        <xdr:sp macro="" textlink="">
          <xdr:nvSpPr>
            <xdr:cNvPr id="17419" name="Option Button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Lighting Zone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19</xdr:row>
          <xdr:rowOff>393700</xdr:rowOff>
        </xdr:from>
        <xdr:to>
          <xdr:col>2</xdr:col>
          <xdr:colOff>1270000</xdr:colOff>
          <xdr:row>21</xdr:row>
          <xdr:rowOff>25400</xdr:rowOff>
        </xdr:to>
        <xdr:sp macro="" textlink="">
          <xdr:nvSpPr>
            <xdr:cNvPr id="17420" name="Option Button 12" hidden="1">
              <a:extLst>
                <a:ext uri="{63B3BB69-23CF-44E3-9099-C40C66FF867C}">
                  <a14:compatExt spid="_x0000_s17420"/>
                </a:ext>
                <a:ext uri="{FF2B5EF4-FFF2-40B4-BE49-F238E27FC236}">
                  <a16:creationId xmlns:a16="http://schemas.microsoft.com/office/drawing/2014/main" id="{00000000-0008-0000-06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Lighting Zone 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21</xdr:row>
          <xdr:rowOff>76200</xdr:rowOff>
        </xdr:from>
        <xdr:to>
          <xdr:col>2</xdr:col>
          <xdr:colOff>1270000</xdr:colOff>
          <xdr:row>21</xdr:row>
          <xdr:rowOff>311150</xdr:rowOff>
        </xdr:to>
        <xdr:sp macro="" textlink="">
          <xdr:nvSpPr>
            <xdr:cNvPr id="17421" name="Option Button 13" hidden="1">
              <a:extLst>
                <a:ext uri="{63B3BB69-23CF-44E3-9099-C40C66FF867C}">
                  <a14:compatExt spid="_x0000_s17421"/>
                </a:ext>
                <a:ext uri="{FF2B5EF4-FFF2-40B4-BE49-F238E27FC236}">
                  <a16:creationId xmlns:a16="http://schemas.microsoft.com/office/drawing/2014/main" id="{00000000-0008-0000-06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Lighting Zone 4</a:t>
              </a:r>
            </a:p>
          </xdr:txBody>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K3:K6" totalsRowShown="0" headerRowDxfId="126" dataDxfId="125">
  <autoFilter ref="K3:K6" xr:uid="{00000000-0009-0000-0100-000001000000}"/>
  <tableColumns count="1">
    <tableColumn id="1" xr3:uid="{00000000-0010-0000-0000-000001000000}" name="INSTALLATION TYPE" dataDxfId="12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7" displayName="Table7" ref="AF52:AF53" totalsRowShown="0" headerRowDxfId="77" dataDxfId="75" headerRowBorderDxfId="76" tableBorderDxfId="74" totalsRowBorderDxfId="73">
  <autoFilter ref="AF52:AF53" xr:uid="{00000000-0009-0000-0100-000007000000}"/>
  <tableColumns count="1">
    <tableColumn id="1" xr3:uid="{00000000-0010-0000-0800-000001000000}" name="Selected Lighting Zone" dataDxfId="7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8" displayName="Table8" ref="AF15:AF20" totalsRowShown="0" headerRowDxfId="71" dataDxfId="69" headerRowBorderDxfId="70" tableBorderDxfId="68" totalsRowBorderDxfId="67">
  <autoFilter ref="AF15:AF20" xr:uid="{00000000-0009-0000-0100-000008000000}"/>
  <tableColumns count="1">
    <tableColumn id="1" xr3:uid="{00000000-0010-0000-0900-000001000000}" name="Area Heating" dataDxfId="6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9" displayName="Table9" ref="AJ3:AP47" totalsRowShown="0" headerRowDxfId="65" dataDxfId="63" headerRowBorderDxfId="64" tableBorderDxfId="62" totalsRowBorderDxfId="61">
  <autoFilter ref="AJ3:AP47" xr:uid="{00000000-0009-0000-0100-000009000000}"/>
  <tableColumns count="7">
    <tableColumn id="1" xr3:uid="{00000000-0010-0000-0A00-000001000000}" name="Predominant Space Type" dataDxfId="60"/>
    <tableColumn id="2" xr3:uid="{00000000-0010-0000-0A00-000002000000}" name="Coincidence Factor (CF)" dataDxfId="59"/>
    <tableColumn id="3" xr3:uid="{00000000-0010-0000-0A00-000003000000}" name="Fixture EFLH" dataDxfId="58"/>
    <tableColumn id="4" xr3:uid="{00000000-0010-0000-0A00-000004000000}" name="Screw-based EFLH" dataDxfId="57"/>
    <tableColumn id="5" xr3:uid="{00000000-0010-0000-0A00-000005000000}" name="IECC 2021 Building Area Method LPD" dataDxfId="56"/>
    <tableColumn id="6" xr3:uid="{00000000-0010-0000-0A00-000006000000}" name="Interactive Factor, Demand (WHFd)" dataDxfId="55"/>
    <tableColumn id="7" xr3:uid="{00000000-0010-0000-0A00-000007000000}" name="Interactive Factor, Energy_x000a_(WHFe)" dataDxfId="5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13" displayName="Table13" ref="AJ54:AR75" totalsRowShown="0" headerRowDxfId="53" dataDxfId="52" tableBorderDxfId="51">
  <autoFilter ref="AJ54:AR75" xr:uid="{00000000-0009-0000-0100-00000D000000}"/>
  <tableColumns count="9">
    <tableColumn id="1" xr3:uid="{00000000-0010-0000-0B00-000001000000}" name="Description" dataDxfId="50"/>
    <tableColumn id="2" xr3:uid="{00000000-0010-0000-0B00-000002000000}" name="Lighting Zone 0" dataDxfId="49"/>
    <tableColumn id="3" xr3:uid="{00000000-0010-0000-0B00-000003000000}" name="Lighting Zone 1" dataDxfId="48"/>
    <tableColumn id="4" xr3:uid="{00000000-0010-0000-0B00-000004000000}" name="Lighting Zone 2" dataDxfId="47"/>
    <tableColumn id="5" xr3:uid="{00000000-0010-0000-0B00-000005000000}" name="Lighting Zone 3" dataDxfId="46"/>
    <tableColumn id="6" xr3:uid="{00000000-0010-0000-0B00-000006000000}" name="Lighting Zone 4" dataDxfId="45"/>
    <tableColumn id="7" xr3:uid="{00000000-0010-0000-0B00-000007000000}" name="Non-standard units" dataDxfId="44"/>
    <tableColumn id="8" xr3:uid="{00000000-0010-0000-0B00-000008000000}" name="Notes" dataDxfId="43"/>
    <tableColumn id="9" xr3:uid="{00000000-0010-0000-0B00-000009000000}" name="Units" dataDxfId="4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e14" displayName="Table14" ref="AF4:AF6" totalsRowShown="0" headerRowDxfId="41" dataDxfId="40" tableBorderDxfId="39">
  <autoFilter ref="AF4:AF6" xr:uid="{00000000-0009-0000-0100-00000E000000}"/>
  <tableColumns count="1">
    <tableColumn id="1" xr3:uid="{00000000-0010-0000-0C00-000001000000}" name=" Interior or Exterior" dataDxfId="3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e15" displayName="Table15" ref="AF9:AF12" totalsRowShown="0" headerRowDxfId="37" dataDxfId="36" tableBorderDxfId="35">
  <autoFilter ref="AF9:AF12" xr:uid="{00000000-0009-0000-0100-00000F000000}"/>
  <tableColumns count="1">
    <tableColumn id="1" xr3:uid="{00000000-0010-0000-0D00-000001000000}" name="Area Cooling" dataDxfId="34"/>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Table12" displayName="Table12" ref="AF25:AF29" totalsRowShown="0" headerRowDxfId="33" dataDxfId="31" headerRowBorderDxfId="32" tableBorderDxfId="30" totalsRowBorderDxfId="29">
  <autoFilter ref="AF25:AF29" xr:uid="{00000000-0009-0000-0100-00000C000000}"/>
  <tableColumns count="1">
    <tableColumn id="1" xr3:uid="{00000000-0010-0000-0E00-000001000000}" name="Proposed Controls" dataDxfId="28"/>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F22:AF23" totalsRowShown="0" headerRowDxfId="27" dataDxfId="25" headerRowBorderDxfId="26" tableBorderDxfId="24" totalsRowBorderDxfId="23">
  <autoFilter ref="AF22:AF23" xr:uid="{00000000-0009-0000-0100-000010000000}"/>
  <tableColumns count="1">
    <tableColumn id="1" xr3:uid="{00000000-0010-0000-0F00-000001000000}" name="Shortcut for ft^2 (type &quot;sqft&quot;)" dataDxfId="22">
      <calculatedColumnFormula>"ft"&amp;CHAR(178)</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F31:AG43" totalsRowShown="0" headerRowDxfId="21" dataDxfId="19" headerRowBorderDxfId="20" tableBorderDxfId="18" totalsRowBorderDxfId="17">
  <autoFilter ref="AF31:AG43" xr:uid="{00000000-0009-0000-0100-000011000000}"/>
  <tableColumns count="2">
    <tableColumn id="1" xr3:uid="{00000000-0010-0000-1000-000001000000}" name="(Base) Controls Factor (ESF)_x000a_INCLUDE EXCEPTED SpaceTypes" dataDxfId="16"/>
    <tableColumn id="2" xr3:uid="{00000000-0010-0000-1000-000002000000}" name="ESF" dataDxfId="1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9" displayName="Table19" ref="E16:I20" totalsRowShown="0" headerRowDxfId="14" headerRowBorderDxfId="13" tableBorderDxfId="12" totalsRowBorderDxfId="11">
  <autoFilter ref="E16:I20" xr:uid="{00000000-0009-0000-0100-000013000000}"/>
  <tableColumns count="5">
    <tableColumn id="1" xr3:uid="{00000000-0010-0000-1100-000001000000}" name="Num" dataDxfId="10"/>
    <tableColumn id="2" xr3:uid="{00000000-0010-0000-1100-000002000000}" name="Tier" dataDxfId="9"/>
    <tableColumn id="3" xr3:uid="{00000000-0010-0000-1100-000003000000}" name="Low" dataDxfId="8"/>
    <tableColumn id="4" xr3:uid="{00000000-0010-0000-1100-000004000000}" name="High" dataDxfId="7" dataCellStyle="Percent"/>
    <tableColumn id="5" xr3:uid="{00000000-0010-0000-1100-000005000000}" name="Incentive/kWh" dataDxfId="6" dataCellStyle="Currenc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K9:K12" totalsRowShown="0" headerRowDxfId="123" dataDxfId="122">
  <autoFilter ref="K9:K12" xr:uid="{00000000-0009-0000-0100-000002000000}"/>
  <tableColumns count="1">
    <tableColumn id="1" xr3:uid="{00000000-0010-0000-0100-000001000000}" name="NEW-EXISTING BUILDING" dataDxfId="121"/>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F4:G13" totalsRowShown="0" headerRowDxfId="5" headerRowBorderDxfId="4" tableBorderDxfId="3" totalsRowBorderDxfId="2">
  <autoFilter ref="F4:G13" xr:uid="{00000000-0009-0000-0100-000015000000}"/>
  <tableColumns count="2">
    <tableColumn id="1" xr3:uid="{00000000-0010-0000-1200-000001000000}" name="Description" dataDxfId="1"/>
    <tableColumn id="2" xr3:uid="{00000000-0010-0000-1200-000002000000}" name="Value" dataDxfId="0"/>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18" displayName="Table18" ref="L21:M24" totalsRowShown="0">
  <autoFilter ref="L21:M24" xr:uid="{00000000-0009-0000-0100-000012000000}"/>
  <tableColumns count="2">
    <tableColumn id="1" xr3:uid="{00000000-0010-0000-1300-000001000000}" name="Rate Code"/>
    <tableColumn id="2" xr3:uid="{00000000-0010-0000-1300-000002000000}" name="isDS2 value"/>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4000000}" name="Table20" displayName="Table20" ref="L30:L31" totalsRowShown="0">
  <autoFilter ref="L30:L31" xr:uid="{00000000-0009-0000-0100-000014000000}"/>
  <tableColumns count="1">
    <tableColumn id="1" xr3:uid="{00000000-0010-0000-1400-000001000000}" name="isDS2">
      <calculatedColumnFormula>IFERROR(VLOOKUP(D36,Table18[],2,FALSE),FALSE)</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1823" displayName="Table1823" ref="L21:M24" totalsRowShown="0">
  <autoFilter ref="L21:M24" xr:uid="{00000000-0009-0000-0100-000016000000}"/>
  <tableColumns count="2">
    <tableColumn id="1" xr3:uid="{00000000-0010-0000-1500-000001000000}" name="Rate Code"/>
    <tableColumn id="2" xr3:uid="{00000000-0010-0000-1500-000002000000}" name="isDS2 value"/>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6000000}" name="Table2025" displayName="Table2025" ref="L33:L34" totalsRowShown="0">
  <autoFilter ref="L33:L34" xr:uid="{00000000-0009-0000-0100-000018000000}"/>
  <tableColumns count="1">
    <tableColumn id="1" xr3:uid="{00000000-0010-0000-1600-000001000000}" name="isGS2">
      <calculatedColumnFormula>IFERROR(VLOOKUP(D36,Table1823[],2,FALSE),FALSE)</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K15:K19" totalsRowShown="0" headerRowDxfId="120" dataDxfId="119">
  <autoFilter ref="K15:K19" xr:uid="{00000000-0009-0000-0100-000003000000}"/>
  <tableColumns count="1">
    <tableColumn id="1" xr3:uid="{00000000-0010-0000-0200-000001000000}" name="DESIGN PHASE" dataDxfId="11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M3:M29" totalsRowShown="0" headerRowDxfId="117" dataDxfId="116">
  <autoFilter ref="M3:M29" xr:uid="{00000000-0009-0000-0100-000004000000}"/>
  <sortState xmlns:xlrd2="http://schemas.microsoft.com/office/spreadsheetml/2017/richdata2" ref="M4:M28">
    <sortCondition ref="M3:M28"/>
  </sortState>
  <tableColumns count="1">
    <tableColumn id="1" xr3:uid="{00000000-0010-0000-0300-000001000000}" name="FACILITY TYPES" dataDxfId="11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K21:K25" totalsRowShown="0" headerRowDxfId="114" dataDxfId="113" tableBorderDxfId="112">
  <autoFilter ref="K21:K25" xr:uid="{00000000-0009-0000-0100-000005000000}"/>
  <tableColumns count="1">
    <tableColumn id="1" xr3:uid="{00000000-0010-0000-0400-000001000000}" name="HVAC SYSTEM TYPE" dataDxfId="11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O3:P12" totalsRowShown="0" dataDxfId="110">
  <autoFilter ref="O3:P12" xr:uid="{00000000-0009-0000-0100-00000A000000}"/>
  <sortState xmlns:xlrd2="http://schemas.microsoft.com/office/spreadsheetml/2017/richdata2" ref="O4:P9">
    <sortCondition ref="O3:O9"/>
  </sortState>
  <tableColumns count="2">
    <tableColumn id="1" xr3:uid="{00000000-0010-0000-0500-000001000000}" name="SECTOR" dataDxfId="109"/>
    <tableColumn id="2" xr3:uid="{00000000-0010-0000-0500-000002000000}" name="Column1" dataDxfId="10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O17:O18" totalsRowShown="0" headerRowDxfId="107" dataDxfId="106">
  <autoFilter ref="O17:O18" xr:uid="{00000000-0009-0000-0100-00000B000000}"/>
  <tableColumns count="1">
    <tableColumn id="1" xr3:uid="{00000000-0010-0000-0600-000001000000}" name="isPublic" dataDxfId="105">
      <calculatedColumnFormula>IF(VLOOKUP(B36,Sector2,2,FALSE)="Public",TRUE,IF(VLOOKUP(B36,Sector2,2,FALSE)="Private",FALSE,IF(VLOOKUP(B36,Sector2,2,FALSE)="CustomPublic",FALSE,"")))</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54113E2-7831-429E-8F64-5ADF6598F0C2}" name="Table25" displayName="Table25" ref="O20:O21" totalsRowShown="0" headerRowDxfId="104" dataDxfId="103">
  <autoFilter ref="O20:O21" xr:uid="{F54113E2-7831-429E-8F64-5ADF6598F0C2}"/>
  <tableColumns count="1">
    <tableColumn id="1" xr3:uid="{EFB59AFA-F879-4F0D-9B6B-207B56974F63}" name="isCustomPublic" dataDxfId="102">
      <calculatedColumnFormula>IF(VLOOKUP(B36,Sector2,2,FALSE)="Public",TRUE,IF(VLOOKUP(B36,Sector2,2,FALSE)="Private",FALSE,IF(VLOOKUP(B36,Sector2,2,FALSE)="CustomPublic",TRUE,"")))</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6" displayName="Table6" ref="O12:O26" totalsRowShown="0" headerRowDxfId="82">
  <autoFilter ref="O12:O26" xr:uid="{00000000-0009-0000-0100-000006000000}"/>
  <sortState xmlns:xlrd2="http://schemas.microsoft.com/office/spreadsheetml/2017/richdata2" ref="O6:O19">
    <sortCondition ref="O5:O19"/>
  </sortState>
  <tableColumns count="1">
    <tableColumn id="1" xr3:uid="{00000000-0010-0000-0700-000001000000}" name="Fixture Typ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cc.illinois.gov/emdb/ucdb/search" TargetMode="External"/><Relationship Id="rId2" Type="http://schemas.openxmlformats.org/officeDocument/2006/relationships/hyperlink" Target="https://www.amplifyincentives.com/amil/" TargetMode="External"/><Relationship Id="rId1" Type="http://schemas.openxmlformats.org/officeDocument/2006/relationships/hyperlink" Target="mailto:IllinoisBusinessProjects@ameren.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12.bin"/><Relationship Id="rId1" Type="http://schemas.openxmlformats.org/officeDocument/2006/relationships/hyperlink" Target="http://www.amerenillinoissavings.com/wp-content/uploads/2023/05/Custom-HVAC-Calculator-2023-1.xlsx" TargetMode="External"/><Relationship Id="rId4" Type="http://schemas.openxmlformats.org/officeDocument/2006/relationships/table" Target="../tables/table22.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13.bin"/><Relationship Id="rId1" Type="http://schemas.openxmlformats.org/officeDocument/2006/relationships/hyperlink" Target="http://www.amerenillinoissavings.com/wp-content/uploads/2023/05/Custom-HVAC-Calculator-2023-1.xlsx" TargetMode="External"/><Relationship Id="rId4" Type="http://schemas.openxmlformats.org/officeDocument/2006/relationships/table" Target="../tables/table2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4.xml"/><Relationship Id="rId3" Type="http://schemas.openxmlformats.org/officeDocument/2006/relationships/hyperlink" Target="mailto:IllinoisBusinessEE@ameren.com" TargetMode="External"/><Relationship Id="rId7" Type="http://schemas.openxmlformats.org/officeDocument/2006/relationships/printerSettings" Target="../printerSettings/printerSettings3.bin"/><Relationship Id="rId12" Type="http://schemas.openxmlformats.org/officeDocument/2006/relationships/ctrlProp" Target="../ctrlProps/ctrlProp3.xml"/><Relationship Id="rId17" Type="http://schemas.openxmlformats.org/officeDocument/2006/relationships/ctrlProp" Target="../ctrlProps/ctrlProp8.xml"/><Relationship Id="rId2" Type="http://schemas.openxmlformats.org/officeDocument/2006/relationships/hyperlink" Target="http://www.amerenillinoissavings.com/forms" TargetMode="External"/><Relationship Id="rId16" Type="http://schemas.openxmlformats.org/officeDocument/2006/relationships/ctrlProp" Target="../ctrlProps/ctrlProp7.xml"/><Relationship Id="rId1" Type="http://schemas.openxmlformats.org/officeDocument/2006/relationships/hyperlink" Target="https://www.irs.gov/pub/irs-pdf/fw9.pdf" TargetMode="External"/><Relationship Id="rId6" Type="http://schemas.openxmlformats.org/officeDocument/2006/relationships/hyperlink" Target="https://amerenillinoissavings.com/illinois/" TargetMode="External"/><Relationship Id="rId11" Type="http://schemas.openxmlformats.org/officeDocument/2006/relationships/ctrlProp" Target="../ctrlProps/ctrlProp2.xml"/><Relationship Id="rId5" Type="http://schemas.openxmlformats.org/officeDocument/2006/relationships/hyperlink" Target="http://www.buildingclean.org/" TargetMode="External"/><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hyperlink" Target="mailto:IllinoisBusinessProjects@ameren.com" TargetMode="External"/><Relationship Id="rId9" Type="http://schemas.openxmlformats.org/officeDocument/2006/relationships/vmlDrawing" Target="../drawings/vmlDrawing1.vml"/><Relationship Id="rId1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4.bin"/><Relationship Id="rId1" Type="http://schemas.openxmlformats.org/officeDocument/2006/relationships/hyperlink" Target="https://www.irs.gov/pub/irs-pdf/fw9.pdf" TargetMode="External"/><Relationship Id="rId6" Type="http://schemas.openxmlformats.org/officeDocument/2006/relationships/table" Target="../tables/table4.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0.xml"/><Relationship Id="rId13" Type="http://schemas.openxmlformats.org/officeDocument/2006/relationships/table" Target="../tables/table15.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table" Target="../tables/table14.xml"/><Relationship Id="rId2" Type="http://schemas.openxmlformats.org/officeDocument/2006/relationships/drawing" Target="../drawings/drawing3.xml"/><Relationship Id="rId16" Type="http://schemas.openxmlformats.org/officeDocument/2006/relationships/table" Target="../tables/table18.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11" Type="http://schemas.openxmlformats.org/officeDocument/2006/relationships/table" Target="../tables/table13.xml"/><Relationship Id="rId5" Type="http://schemas.openxmlformats.org/officeDocument/2006/relationships/ctrlProp" Target="../ctrlProps/ctrlProp10.xml"/><Relationship Id="rId15" Type="http://schemas.openxmlformats.org/officeDocument/2006/relationships/table" Target="../tables/table17.xml"/><Relationship Id="rId10" Type="http://schemas.openxmlformats.org/officeDocument/2006/relationships/table" Target="../tables/table12.xml"/><Relationship Id="rId4" Type="http://schemas.openxmlformats.org/officeDocument/2006/relationships/ctrlProp" Target="../ctrlProps/ctrlProp9.xml"/><Relationship Id="rId9" Type="http://schemas.openxmlformats.org/officeDocument/2006/relationships/table" Target="../tables/table11.xml"/><Relationship Id="rId1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ahridirectory.org/Search/Search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autoPageBreaks="0" fitToPage="1"/>
  </sheetPr>
  <dimension ref="B2:Z200"/>
  <sheetViews>
    <sheetView showGridLines="0" showRowColHeaders="0" tabSelected="1" zoomScaleNormal="100" workbookViewId="0">
      <selection activeCell="D18" sqref="D18:E18"/>
    </sheetView>
  </sheetViews>
  <sheetFormatPr defaultRowHeight="14.5" x14ac:dyDescent="0.35"/>
  <cols>
    <col min="1" max="1" width="7.1796875" customWidth="1"/>
    <col min="2" max="3" width="3.1796875" customWidth="1"/>
    <col min="4" max="4" width="101.453125" customWidth="1"/>
    <col min="5" max="5" width="1.1796875" customWidth="1"/>
    <col min="7" max="26" width="8.7265625" style="346"/>
  </cols>
  <sheetData>
    <row r="2" spans="2:11" ht="17.149999999999999" customHeight="1" x14ac:dyDescent="0.35">
      <c r="F2" s="515"/>
    </row>
    <row r="6" spans="2:11" ht="19.5" customHeight="1" x14ac:dyDescent="0.35">
      <c r="B6" s="522" t="s">
        <v>909</v>
      </c>
      <c r="C6" s="522"/>
      <c r="D6" s="522"/>
    </row>
    <row r="7" spans="2:11" ht="21" x14ac:dyDescent="0.5">
      <c r="B7" s="522"/>
      <c r="C7" s="522"/>
      <c r="D7" s="522"/>
      <c r="E7" s="367"/>
      <c r="F7" s="367"/>
      <c r="G7" s="382"/>
      <c r="H7" s="382"/>
      <c r="I7" s="382"/>
      <c r="J7" s="382"/>
      <c r="K7" s="382"/>
    </row>
    <row r="8" spans="2:11" x14ac:dyDescent="0.35">
      <c r="B8" s="523" t="s">
        <v>921</v>
      </c>
      <c r="C8" s="523"/>
      <c r="D8" s="523"/>
      <c r="E8" s="368"/>
      <c r="F8" s="368"/>
      <c r="G8" s="383"/>
      <c r="H8" s="383"/>
      <c r="I8" s="383"/>
      <c r="J8" s="383"/>
      <c r="K8" s="383"/>
    </row>
    <row r="9" spans="2:11" ht="19.5" customHeight="1" x14ac:dyDescent="0.35">
      <c r="B9" s="274" t="s">
        <v>922</v>
      </c>
    </row>
    <row r="10" spans="2:11" x14ac:dyDescent="0.35">
      <c r="C10" s="371" t="s">
        <v>926</v>
      </c>
      <c r="D10" s="2" t="s">
        <v>923</v>
      </c>
    </row>
    <row r="11" spans="2:11" x14ac:dyDescent="0.35">
      <c r="C11" s="371" t="s">
        <v>927</v>
      </c>
      <c r="D11" s="2" t="s">
        <v>924</v>
      </c>
    </row>
    <row r="12" spans="2:11" ht="26.5" x14ac:dyDescent="0.35">
      <c r="C12" s="83"/>
      <c r="D12" s="370" t="s">
        <v>967</v>
      </c>
    </row>
    <row r="13" spans="2:11" x14ac:dyDescent="0.35">
      <c r="C13" s="371" t="s">
        <v>928</v>
      </c>
      <c r="D13" s="2" t="s">
        <v>925</v>
      </c>
    </row>
    <row r="14" spans="2:11" x14ac:dyDescent="0.35">
      <c r="C14" s="371" t="s">
        <v>929</v>
      </c>
      <c r="D14" s="2" t="s">
        <v>938</v>
      </c>
    </row>
    <row r="15" spans="2:11" x14ac:dyDescent="0.35">
      <c r="C15" s="371" t="s">
        <v>930</v>
      </c>
      <c r="D15" s="2" t="s">
        <v>931</v>
      </c>
    </row>
    <row r="16" spans="2:11" x14ac:dyDescent="0.35">
      <c r="C16" s="371" t="s">
        <v>932</v>
      </c>
      <c r="D16" s="2" t="s">
        <v>955</v>
      </c>
    </row>
    <row r="17" spans="2:5" x14ac:dyDescent="0.35">
      <c r="C17" s="371" t="s">
        <v>933</v>
      </c>
      <c r="D17" s="2" t="s">
        <v>1026</v>
      </c>
    </row>
    <row r="18" spans="2:5" x14ac:dyDescent="0.35">
      <c r="C18" s="371"/>
      <c r="D18" s="524" t="s">
        <v>934</v>
      </c>
      <c r="E18" s="524"/>
    </row>
    <row r="19" spans="2:5" x14ac:dyDescent="0.35">
      <c r="B19" s="373" t="s">
        <v>939</v>
      </c>
      <c r="C19" s="372"/>
      <c r="D19" s="369"/>
    </row>
    <row r="20" spans="2:5" ht="16" customHeight="1" x14ac:dyDescent="0.35">
      <c r="C20" s="374" t="s">
        <v>941</v>
      </c>
      <c r="D20" s="369" t="s">
        <v>964</v>
      </c>
    </row>
    <row r="21" spans="2:5" ht="42" customHeight="1" x14ac:dyDescent="0.35">
      <c r="C21" s="374" t="s">
        <v>941</v>
      </c>
      <c r="D21" s="369" t="s">
        <v>976</v>
      </c>
    </row>
    <row r="22" spans="2:5" ht="56.15" customHeight="1" x14ac:dyDescent="0.35">
      <c r="C22" s="374" t="s">
        <v>941</v>
      </c>
      <c r="D22" s="369" t="s">
        <v>1019</v>
      </c>
    </row>
    <row r="23" spans="2:5" ht="21" customHeight="1" x14ac:dyDescent="0.35">
      <c r="B23" s="373" t="s">
        <v>940</v>
      </c>
    </row>
    <row r="24" spans="2:5" x14ac:dyDescent="0.35">
      <c r="C24" s="374" t="s">
        <v>941</v>
      </c>
      <c r="D24" s="369" t="s">
        <v>983</v>
      </c>
    </row>
    <row r="25" spans="2:5" x14ac:dyDescent="0.35">
      <c r="C25" s="374" t="s">
        <v>941</v>
      </c>
      <c r="D25" s="369" t="s">
        <v>942</v>
      </c>
    </row>
    <row r="26" spans="2:5" x14ac:dyDescent="0.35">
      <c r="C26" s="374" t="s">
        <v>941</v>
      </c>
      <c r="D26" s="369" t="s">
        <v>943</v>
      </c>
    </row>
    <row r="27" spans="2:5" ht="26.5" x14ac:dyDescent="0.35">
      <c r="C27" s="374" t="s">
        <v>941</v>
      </c>
      <c r="D27" s="369" t="s">
        <v>1088</v>
      </c>
    </row>
    <row r="28" spans="2:5" ht="21" customHeight="1" x14ac:dyDescent="0.35">
      <c r="B28" s="373" t="s">
        <v>944</v>
      </c>
      <c r="D28" s="2"/>
    </row>
    <row r="29" spans="2:5" ht="26.5" x14ac:dyDescent="0.35">
      <c r="C29" s="374" t="s">
        <v>941</v>
      </c>
      <c r="D29" s="369" t="s">
        <v>945</v>
      </c>
    </row>
    <row r="30" spans="2:5" x14ac:dyDescent="0.35">
      <c r="C30" s="374" t="s">
        <v>941</v>
      </c>
      <c r="D30" s="369" t="s">
        <v>946</v>
      </c>
    </row>
    <row r="31" spans="2:5" x14ac:dyDescent="0.35">
      <c r="C31" s="374" t="s">
        <v>941</v>
      </c>
      <c r="D31" s="6" t="s">
        <v>1087</v>
      </c>
    </row>
    <row r="32" spans="2:5" ht="26.5" x14ac:dyDescent="0.35">
      <c r="C32" s="374" t="s">
        <v>941</v>
      </c>
      <c r="D32" s="369" t="s">
        <v>1025</v>
      </c>
    </row>
    <row r="33" spans="2:26" x14ac:dyDescent="0.35">
      <c r="C33" s="374" t="s">
        <v>941</v>
      </c>
      <c r="D33" s="369" t="s">
        <v>947</v>
      </c>
    </row>
    <row r="34" spans="2:26" x14ac:dyDescent="0.35">
      <c r="D34" s="490" t="s">
        <v>1094</v>
      </c>
    </row>
    <row r="35" spans="2:26" ht="36" customHeight="1" x14ac:dyDescent="0.35">
      <c r="D35" s="375" t="s">
        <v>1020</v>
      </c>
    </row>
    <row r="36" spans="2:26" ht="40" customHeight="1" x14ac:dyDescent="0.35">
      <c r="C36" s="374" t="s">
        <v>941</v>
      </c>
      <c r="D36" s="369" t="s">
        <v>950</v>
      </c>
    </row>
    <row r="37" spans="2:26" x14ac:dyDescent="0.35">
      <c r="D37" s="490" t="s">
        <v>1074</v>
      </c>
    </row>
    <row r="38" spans="2:26" x14ac:dyDescent="0.35">
      <c r="C38" s="374" t="s">
        <v>941</v>
      </c>
      <c r="D38" s="376" t="s">
        <v>948</v>
      </c>
    </row>
    <row r="39" spans="2:26" ht="20.149999999999999" customHeight="1" x14ac:dyDescent="0.35">
      <c r="B39" s="373" t="s">
        <v>949</v>
      </c>
    </row>
    <row r="40" spans="2:26" ht="26.5" x14ac:dyDescent="0.35">
      <c r="C40" s="374" t="s">
        <v>941</v>
      </c>
      <c r="D40" s="369" t="s">
        <v>951</v>
      </c>
    </row>
    <row r="41" spans="2:26" ht="39.5" x14ac:dyDescent="0.35">
      <c r="C41" s="374" t="s">
        <v>941</v>
      </c>
      <c r="D41" s="369" t="s">
        <v>962</v>
      </c>
    </row>
    <row r="42" spans="2:26" ht="39.5" x14ac:dyDescent="0.35">
      <c r="C42" s="374" t="s">
        <v>941</v>
      </c>
      <c r="D42" s="369" t="s">
        <v>963</v>
      </c>
    </row>
    <row r="43" spans="2:26" ht="15" customHeight="1" x14ac:dyDescent="0.35">
      <c r="C43" s="374" t="s">
        <v>941</v>
      </c>
      <c r="D43" s="369" t="s">
        <v>952</v>
      </c>
    </row>
    <row r="45" spans="2:26" s="11" customFormat="1" ht="9" customHeight="1" x14ac:dyDescent="0.35">
      <c r="G45" s="346"/>
      <c r="H45" s="346"/>
      <c r="I45" s="346"/>
      <c r="J45" s="346"/>
      <c r="K45" s="346"/>
      <c r="L45" s="346"/>
      <c r="M45" s="346"/>
      <c r="N45" s="346"/>
      <c r="O45" s="346"/>
      <c r="P45" s="346"/>
      <c r="Q45" s="346"/>
      <c r="R45" s="346"/>
      <c r="S45" s="346"/>
      <c r="T45" s="346"/>
      <c r="U45" s="346"/>
      <c r="V45" s="346"/>
      <c r="W45" s="346"/>
      <c r="X45" s="346"/>
      <c r="Y45" s="346"/>
      <c r="Z45" s="346"/>
    </row>
    <row r="46" spans="2:26" s="377" customFormat="1" x14ac:dyDescent="0.35">
      <c r="B46" s="377" t="s">
        <v>908</v>
      </c>
      <c r="D46" s="514"/>
      <c r="E46" s="513" t="s">
        <v>954</v>
      </c>
      <c r="F46"/>
      <c r="G46" s="348"/>
      <c r="H46" s="348"/>
      <c r="I46" s="348"/>
      <c r="J46" s="348"/>
      <c r="K46" s="348"/>
      <c r="L46" s="348"/>
      <c r="M46" s="348"/>
      <c r="N46" s="348"/>
      <c r="O46" s="348"/>
      <c r="P46" s="348"/>
      <c r="Q46" s="348"/>
      <c r="R46" s="348"/>
      <c r="S46" s="348"/>
      <c r="T46" s="348"/>
      <c r="U46" s="348"/>
      <c r="V46" s="348"/>
      <c r="W46" s="348"/>
      <c r="X46" s="348"/>
      <c r="Y46" s="348"/>
      <c r="Z46" s="348"/>
    </row>
    <row r="47" spans="2:26" s="377" customFormat="1" x14ac:dyDescent="0.35">
      <c r="B47" s="377" t="s">
        <v>1104</v>
      </c>
      <c r="D47" s="514"/>
      <c r="E47" s="513" t="s">
        <v>953</v>
      </c>
      <c r="F47" s="378"/>
      <c r="G47" s="348"/>
      <c r="H47" s="348"/>
      <c r="I47" s="348"/>
      <c r="J47" s="348"/>
      <c r="K47" s="348"/>
      <c r="L47" s="348"/>
      <c r="M47" s="348"/>
      <c r="N47" s="348"/>
      <c r="O47" s="348"/>
      <c r="P47" s="348"/>
      <c r="Q47" s="348"/>
      <c r="R47" s="348"/>
      <c r="S47" s="348"/>
      <c r="T47" s="348"/>
      <c r="U47" s="348"/>
      <c r="V47" s="348"/>
      <c r="W47" s="348"/>
      <c r="X47" s="348"/>
      <c r="Y47" s="348"/>
      <c r="Z47" s="348"/>
    </row>
    <row r="48" spans="2:26" s="377" customFormat="1" x14ac:dyDescent="0.35">
      <c r="B48" s="377" t="s">
        <v>907</v>
      </c>
      <c r="D48" s="429"/>
      <c r="G48" s="348"/>
      <c r="H48" s="348"/>
      <c r="I48" s="348"/>
      <c r="J48" s="348"/>
      <c r="K48" s="348"/>
      <c r="L48" s="348"/>
      <c r="M48" s="348"/>
      <c r="N48" s="348"/>
      <c r="O48" s="348"/>
      <c r="P48" s="348"/>
      <c r="Q48" s="348"/>
      <c r="R48" s="348"/>
      <c r="S48" s="348"/>
      <c r="T48" s="348"/>
      <c r="U48" s="348"/>
      <c r="V48" s="348"/>
      <c r="W48" s="348"/>
      <c r="X48" s="348"/>
      <c r="Y48" s="348"/>
      <c r="Z48" s="348"/>
    </row>
    <row r="49" spans="4:4" x14ac:dyDescent="0.35">
      <c r="D49" s="430" t="s">
        <v>1103</v>
      </c>
    </row>
    <row r="50" spans="4:4" s="346" customFormat="1" x14ac:dyDescent="0.35"/>
    <row r="51" spans="4:4" s="346" customFormat="1" x14ac:dyDescent="0.35"/>
    <row r="52" spans="4:4" s="346" customFormat="1" x14ac:dyDescent="0.35"/>
    <row r="53" spans="4:4" s="346" customFormat="1" x14ac:dyDescent="0.35"/>
    <row r="54" spans="4:4" s="346" customFormat="1" x14ac:dyDescent="0.35"/>
    <row r="55" spans="4:4" s="346" customFormat="1" x14ac:dyDescent="0.35"/>
    <row r="56" spans="4:4" s="346" customFormat="1" x14ac:dyDescent="0.35"/>
    <row r="57" spans="4:4" s="346" customFormat="1" x14ac:dyDescent="0.35"/>
    <row r="58" spans="4:4" s="346" customFormat="1" x14ac:dyDescent="0.35"/>
    <row r="59" spans="4:4" s="346" customFormat="1" x14ac:dyDescent="0.35"/>
    <row r="60" spans="4:4" s="346" customFormat="1" x14ac:dyDescent="0.35"/>
    <row r="61" spans="4:4" s="346" customFormat="1" x14ac:dyDescent="0.35"/>
    <row r="62" spans="4:4" s="346" customFormat="1" x14ac:dyDescent="0.35"/>
    <row r="63" spans="4:4" s="346" customFormat="1" x14ac:dyDescent="0.35"/>
    <row r="64" spans="4:4" s="346" customFormat="1" x14ac:dyDescent="0.35"/>
    <row r="65" s="346" customFormat="1" x14ac:dyDescent="0.35"/>
    <row r="66" s="346" customFormat="1" x14ac:dyDescent="0.35"/>
    <row r="67" s="346" customFormat="1" x14ac:dyDescent="0.35"/>
    <row r="68" s="346" customFormat="1" x14ac:dyDescent="0.35"/>
    <row r="69" s="346" customFormat="1" x14ac:dyDescent="0.35"/>
    <row r="70" s="346" customFormat="1" x14ac:dyDescent="0.35"/>
    <row r="71" s="346" customFormat="1" x14ac:dyDescent="0.35"/>
    <row r="72" s="346" customFormat="1" x14ac:dyDescent="0.35"/>
    <row r="73" s="346" customFormat="1" x14ac:dyDescent="0.35"/>
    <row r="74" s="346" customFormat="1" x14ac:dyDescent="0.35"/>
    <row r="75" s="346" customFormat="1" x14ac:dyDescent="0.35"/>
    <row r="76" s="346" customFormat="1" x14ac:dyDescent="0.35"/>
    <row r="77" s="346" customFormat="1" x14ac:dyDescent="0.35"/>
    <row r="78" s="346" customFormat="1" x14ac:dyDescent="0.35"/>
    <row r="79" s="346" customFormat="1" x14ac:dyDescent="0.35"/>
    <row r="80" s="346" customFormat="1" x14ac:dyDescent="0.35"/>
    <row r="81" s="346" customFormat="1" x14ac:dyDescent="0.35"/>
    <row r="82" s="346" customFormat="1" x14ac:dyDescent="0.35"/>
    <row r="83" s="346" customFormat="1" x14ac:dyDescent="0.35"/>
    <row r="84" s="346" customFormat="1" x14ac:dyDescent="0.35"/>
    <row r="85" s="346" customFormat="1" x14ac:dyDescent="0.35"/>
    <row r="86" s="346" customFormat="1" x14ac:dyDescent="0.35"/>
    <row r="87" s="346" customFormat="1" x14ac:dyDescent="0.35"/>
    <row r="88" s="346" customFormat="1" x14ac:dyDescent="0.35"/>
    <row r="89" s="346" customFormat="1" x14ac:dyDescent="0.35"/>
    <row r="90" s="346" customFormat="1" x14ac:dyDescent="0.35"/>
    <row r="91" s="346" customFormat="1" x14ac:dyDescent="0.35"/>
    <row r="92" s="346" customFormat="1" x14ac:dyDescent="0.35"/>
    <row r="93" s="346" customFormat="1" x14ac:dyDescent="0.35"/>
    <row r="94" s="346" customFormat="1" x14ac:dyDescent="0.35"/>
    <row r="95" s="346" customFormat="1" x14ac:dyDescent="0.35"/>
    <row r="96" s="346" customFormat="1" x14ac:dyDescent="0.35"/>
    <row r="97" s="346" customFormat="1" x14ac:dyDescent="0.35"/>
    <row r="98" s="346" customFormat="1" x14ac:dyDescent="0.35"/>
    <row r="99" s="346" customFormat="1" x14ac:dyDescent="0.35"/>
    <row r="100" s="346" customFormat="1" x14ac:dyDescent="0.35"/>
    <row r="101" s="346" customFormat="1" x14ac:dyDescent="0.35"/>
    <row r="102" s="346" customFormat="1" x14ac:dyDescent="0.35"/>
    <row r="103" s="346" customFormat="1" x14ac:dyDescent="0.35"/>
    <row r="104" s="346" customFormat="1" x14ac:dyDescent="0.35"/>
    <row r="105" s="346" customFormat="1" x14ac:dyDescent="0.35"/>
    <row r="106" s="346" customFormat="1" x14ac:dyDescent="0.35"/>
    <row r="107" s="346" customFormat="1" x14ac:dyDescent="0.35"/>
    <row r="108" s="346" customFormat="1" x14ac:dyDescent="0.35"/>
    <row r="109" s="346" customFormat="1" x14ac:dyDescent="0.35"/>
    <row r="110" s="346" customFormat="1" x14ac:dyDescent="0.35"/>
    <row r="111" s="346" customFormat="1" x14ac:dyDescent="0.35"/>
    <row r="112" s="346" customFormat="1" x14ac:dyDescent="0.35"/>
    <row r="113" s="346" customFormat="1" x14ac:dyDescent="0.35"/>
    <row r="114" s="346" customFormat="1" x14ac:dyDescent="0.35"/>
    <row r="115" s="346" customFormat="1" x14ac:dyDescent="0.35"/>
    <row r="116" s="346" customFormat="1" x14ac:dyDescent="0.35"/>
    <row r="117" s="346" customFormat="1" x14ac:dyDescent="0.35"/>
    <row r="118" s="346" customFormat="1" x14ac:dyDescent="0.35"/>
    <row r="119" s="346" customFormat="1" x14ac:dyDescent="0.35"/>
    <row r="120" s="346" customFormat="1" x14ac:dyDescent="0.35"/>
    <row r="121" s="346" customFormat="1" x14ac:dyDescent="0.35"/>
    <row r="122" s="346" customFormat="1" x14ac:dyDescent="0.35"/>
    <row r="123" s="346" customFormat="1" x14ac:dyDescent="0.35"/>
    <row r="124" s="346" customFormat="1" x14ac:dyDescent="0.35"/>
    <row r="125" s="346" customFormat="1" x14ac:dyDescent="0.35"/>
    <row r="126" s="346" customFormat="1" x14ac:dyDescent="0.35"/>
    <row r="127" s="346" customFormat="1" x14ac:dyDescent="0.35"/>
    <row r="128" s="346" customFormat="1" x14ac:dyDescent="0.35"/>
    <row r="129" s="346" customFormat="1" x14ac:dyDescent="0.35"/>
    <row r="130" s="346" customFormat="1" x14ac:dyDescent="0.35"/>
    <row r="131" s="346" customFormat="1" x14ac:dyDescent="0.35"/>
    <row r="132" s="346" customFormat="1" x14ac:dyDescent="0.35"/>
    <row r="133" s="346" customFormat="1" x14ac:dyDescent="0.35"/>
    <row r="134" s="346" customFormat="1" x14ac:dyDescent="0.35"/>
    <row r="135" s="346" customFormat="1" x14ac:dyDescent="0.35"/>
    <row r="136" s="346" customFormat="1" x14ac:dyDescent="0.35"/>
    <row r="137" s="346" customFormat="1" x14ac:dyDescent="0.35"/>
    <row r="138" s="346" customFormat="1" x14ac:dyDescent="0.35"/>
    <row r="139" s="346" customFormat="1" x14ac:dyDescent="0.35"/>
    <row r="140" s="346" customFormat="1" x14ac:dyDescent="0.35"/>
    <row r="141" s="346" customFormat="1" x14ac:dyDescent="0.35"/>
    <row r="142" s="346" customFormat="1" x14ac:dyDescent="0.35"/>
    <row r="143" s="346" customFormat="1" x14ac:dyDescent="0.35"/>
    <row r="144" s="346" customFormat="1" x14ac:dyDescent="0.35"/>
    <row r="145" s="346" customFormat="1" x14ac:dyDescent="0.35"/>
    <row r="146" s="346" customFormat="1" x14ac:dyDescent="0.35"/>
    <row r="147" s="346" customFormat="1" x14ac:dyDescent="0.35"/>
    <row r="148" s="346" customFormat="1" x14ac:dyDescent="0.35"/>
    <row r="149" s="346" customFormat="1" x14ac:dyDescent="0.35"/>
    <row r="150" s="346" customFormat="1" x14ac:dyDescent="0.35"/>
    <row r="151" s="346" customFormat="1" x14ac:dyDescent="0.35"/>
    <row r="152" s="346" customFormat="1" x14ac:dyDescent="0.35"/>
    <row r="153" s="346" customFormat="1" x14ac:dyDescent="0.35"/>
    <row r="154" s="346" customFormat="1" x14ac:dyDescent="0.35"/>
    <row r="155" s="346" customFormat="1" x14ac:dyDescent="0.35"/>
    <row r="156" s="346" customFormat="1" x14ac:dyDescent="0.35"/>
    <row r="157" s="346" customFormat="1" x14ac:dyDescent="0.35"/>
    <row r="158" s="346" customFormat="1" x14ac:dyDescent="0.35"/>
    <row r="159" s="346" customFormat="1" x14ac:dyDescent="0.35"/>
    <row r="160" s="346" customFormat="1" x14ac:dyDescent="0.35"/>
    <row r="161" s="346" customFormat="1" x14ac:dyDescent="0.35"/>
    <row r="162" s="346" customFormat="1" x14ac:dyDescent="0.35"/>
    <row r="163" s="346" customFormat="1" x14ac:dyDescent="0.35"/>
    <row r="164" s="346" customFormat="1" x14ac:dyDescent="0.35"/>
    <row r="165" s="346" customFormat="1" x14ac:dyDescent="0.35"/>
    <row r="166" s="346" customFormat="1" x14ac:dyDescent="0.35"/>
    <row r="167" s="346" customFormat="1" x14ac:dyDescent="0.35"/>
    <row r="168" s="346" customFormat="1" x14ac:dyDescent="0.35"/>
    <row r="169" s="346" customFormat="1" x14ac:dyDescent="0.35"/>
    <row r="170" s="346" customFormat="1" x14ac:dyDescent="0.35"/>
    <row r="171" s="346" customFormat="1" x14ac:dyDescent="0.35"/>
    <row r="172" s="346" customFormat="1" x14ac:dyDescent="0.35"/>
    <row r="173" s="346" customFormat="1" x14ac:dyDescent="0.35"/>
    <row r="174" s="346" customFormat="1" x14ac:dyDescent="0.35"/>
    <row r="175" s="346" customFormat="1" x14ac:dyDescent="0.35"/>
    <row r="176" s="346" customFormat="1" x14ac:dyDescent="0.35"/>
    <row r="177" s="346" customFormat="1" x14ac:dyDescent="0.35"/>
    <row r="178" s="346" customFormat="1" x14ac:dyDescent="0.35"/>
    <row r="179" s="346" customFormat="1" x14ac:dyDescent="0.35"/>
    <row r="180" s="346" customFormat="1" x14ac:dyDescent="0.35"/>
    <row r="181" s="346" customFormat="1" x14ac:dyDescent="0.35"/>
    <row r="182" s="346" customFormat="1" x14ac:dyDescent="0.35"/>
    <row r="183" s="346" customFormat="1" x14ac:dyDescent="0.35"/>
    <row r="184" s="346" customFormat="1" x14ac:dyDescent="0.35"/>
    <row r="185" s="346" customFormat="1" x14ac:dyDescent="0.35"/>
    <row r="186" s="346" customFormat="1" x14ac:dyDescent="0.35"/>
    <row r="187" s="346" customFormat="1" x14ac:dyDescent="0.35"/>
    <row r="188" s="346" customFormat="1" x14ac:dyDescent="0.35"/>
    <row r="189" s="346" customFormat="1" x14ac:dyDescent="0.35"/>
    <row r="190" s="346" customFormat="1" x14ac:dyDescent="0.35"/>
    <row r="191" s="346" customFormat="1" x14ac:dyDescent="0.35"/>
    <row r="192" s="346" customFormat="1" x14ac:dyDescent="0.35"/>
    <row r="193" s="346" customFormat="1" x14ac:dyDescent="0.35"/>
    <row r="194" s="346" customFormat="1" x14ac:dyDescent="0.35"/>
    <row r="195" s="346" customFormat="1" x14ac:dyDescent="0.35"/>
    <row r="196" s="346" customFormat="1" x14ac:dyDescent="0.35"/>
    <row r="197" s="346" customFormat="1" x14ac:dyDescent="0.35"/>
    <row r="198" s="346" customFormat="1" x14ac:dyDescent="0.35"/>
    <row r="199" s="346" customFormat="1" x14ac:dyDescent="0.35"/>
    <row r="200" s="346" customFormat="1" x14ac:dyDescent="0.35"/>
  </sheetData>
  <sheetProtection algorithmName="SHA-512" hashValue="mjOuV3f5FQSUFfy1v/MSQoH7Q7adEw1a++60/N0LZOEq7ceCo0LDssBVMoUibydtWGMeJWzmK9ct0vRoXpGlxg==" saltValue="9/r45PN7oah5w7s8TTh6lQ==" spinCount="100000" sheet="1" objects="1" scenarios="1" selectLockedCells="1"/>
  <mergeCells count="3">
    <mergeCell ref="B6:D7"/>
    <mergeCell ref="B8:D8"/>
    <mergeCell ref="D18:E18"/>
  </mergeCells>
  <hyperlinks>
    <hyperlink ref="D18:E18" r:id="rId1" display="Submit applications to: IllinoisBusinessProjects@ameren.com" xr:uid="{00000000-0004-0000-0000-000000000000}"/>
    <hyperlink ref="D34" r:id="rId2" xr:uid="{00000000-0004-0000-0000-000001000000}"/>
    <hyperlink ref="D37" r:id="rId3" display="https://www.icc.illinois.gov/emdb/ucdb/search" xr:uid="{00000000-0004-0000-0000-000002000000}"/>
  </hyperlinks>
  <pageMargins left="0.75" right="0.25" top="0.5" bottom="0.5" header="0.3" footer="0.3"/>
  <pageSetup orientation="portrait" horizontalDpi="1200" verticalDpi="1200" r:id="rId4"/>
  <headerFooter differentFirst="1">
    <oddHeader>&amp;C&amp;"Arial"&amp;9&amp;K000000Leidos Proprietary&amp;1#</oddHeader>
    <oddFooter>&amp;C&amp;"Calibri"&amp;11&amp;K000000&amp;"Calibri,Regular"&amp;10_x000D_&amp;1#&amp;"Arial"&amp;8&amp;K000000The information in this document is proprietary to Leidos. It may not be used, reproduced, disclosed, or exported without the written approval of Leidos.</oddFooter>
    <firstHeader>&amp;C&amp;"Arial"&amp;9&amp;K000000Leidos Proprietary&amp;1#</firstHeader>
    <firstFooter>&amp;C&amp;1#&amp;"Arial"&amp;8&amp;K000000The information in this document is proprietary to Leidos. It may not be used, reproduced, disclosed, or exported without the written approval of Leidos.</firstFooter>
  </headerFooter>
  <ignoredErrors>
    <ignoredError sqref="C10:C14 C15:C17" numberStoredAsText="1"/>
  </ignoredErrors>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autoPageBreaks="0"/>
  </sheetPr>
  <dimension ref="A2:K31"/>
  <sheetViews>
    <sheetView showGridLines="0" showRowColHeaders="0" zoomScale="90" zoomScaleNormal="90" workbookViewId="0">
      <selection activeCell="B2" sqref="B2:K2"/>
    </sheetView>
  </sheetViews>
  <sheetFormatPr defaultRowHeight="14.5" outlineLevelRow="1" x14ac:dyDescent="0.35"/>
  <cols>
    <col min="1" max="1" width="7" style="357" customWidth="1"/>
    <col min="2" max="2" width="13.7265625" customWidth="1"/>
    <col min="3" max="3" width="13" style="2" customWidth="1"/>
    <col min="4" max="4" width="13.54296875" customWidth="1"/>
    <col min="5" max="8" width="13" customWidth="1"/>
    <col min="9" max="9" width="13.54296875" customWidth="1"/>
    <col min="10" max="10" width="18.1796875" customWidth="1"/>
    <col min="11" max="11" width="13" customWidth="1"/>
  </cols>
  <sheetData>
    <row r="2" spans="2:11" ht="21" x14ac:dyDescent="0.35">
      <c r="B2" s="717" t="s">
        <v>913</v>
      </c>
      <c r="C2" s="717"/>
      <c r="D2" s="717"/>
      <c r="E2" s="717"/>
      <c r="F2" s="717"/>
      <c r="G2" s="717"/>
      <c r="H2" s="717"/>
      <c r="I2" s="717"/>
      <c r="J2" s="717"/>
      <c r="K2" s="717"/>
    </row>
    <row r="3" spans="2:11" ht="21.65" customHeight="1" x14ac:dyDescent="0.35">
      <c r="B3" s="616" t="s">
        <v>912</v>
      </c>
      <c r="C3" s="617"/>
      <c r="D3" s="617"/>
      <c r="E3" s="617"/>
      <c r="F3" s="617"/>
      <c r="G3" s="617"/>
      <c r="H3" s="617"/>
      <c r="I3" s="617"/>
      <c r="J3" s="617"/>
      <c r="K3" s="618"/>
    </row>
    <row r="4" spans="2:11" ht="21.65" customHeight="1" x14ac:dyDescent="0.35">
      <c r="B4" s="619"/>
      <c r="C4" s="535"/>
      <c r="D4" s="535"/>
      <c r="E4" s="535"/>
      <c r="F4" s="535"/>
      <c r="G4" s="535"/>
      <c r="H4" s="535"/>
      <c r="I4" s="535"/>
      <c r="J4" s="535"/>
      <c r="K4" s="620"/>
    </row>
    <row r="5" spans="2:11" ht="21.65" customHeight="1" x14ac:dyDescent="0.35">
      <c r="B5" s="619"/>
      <c r="C5" s="535"/>
      <c r="D5" s="535"/>
      <c r="E5" s="535"/>
      <c r="F5" s="535"/>
      <c r="G5" s="535"/>
      <c r="H5" s="535"/>
      <c r="I5" s="535"/>
      <c r="J5" s="535"/>
      <c r="K5" s="620"/>
    </row>
    <row r="6" spans="2:11" ht="21.65" customHeight="1" x14ac:dyDescent="0.35">
      <c r="B6" s="619"/>
      <c r="C6" s="535"/>
      <c r="D6" s="535"/>
      <c r="E6" s="535"/>
      <c r="F6" s="535"/>
      <c r="G6" s="535"/>
      <c r="H6" s="535"/>
      <c r="I6" s="535"/>
      <c r="J6" s="535"/>
      <c r="K6" s="620"/>
    </row>
    <row r="7" spans="2:11" ht="21.65" customHeight="1" x14ac:dyDescent="0.35">
      <c r="B7" s="621"/>
      <c r="C7" s="622"/>
      <c r="D7" s="622"/>
      <c r="E7" s="622"/>
      <c r="F7" s="622"/>
      <c r="G7" s="622"/>
      <c r="H7" s="622"/>
      <c r="I7" s="622"/>
      <c r="J7" s="622"/>
      <c r="K7" s="623"/>
    </row>
    <row r="9" spans="2:11" ht="24" customHeight="1" x14ac:dyDescent="0.35">
      <c r="B9" s="724" t="str">
        <f>'Measure Data'!B35</f>
        <v>Unitary and Split Air Conditioning Systems and Air Source Heat Pumps</v>
      </c>
      <c r="C9" s="725"/>
      <c r="D9" s="725"/>
      <c r="E9" s="725"/>
      <c r="F9" s="725"/>
      <c r="G9" s="725"/>
      <c r="H9" s="725"/>
      <c r="I9" s="725"/>
      <c r="J9" s="725"/>
      <c r="K9" s="726"/>
    </row>
    <row r="10" spans="2:11" ht="31" customHeight="1" x14ac:dyDescent="0.35">
      <c r="B10" s="730" t="s">
        <v>1090</v>
      </c>
      <c r="C10" s="731"/>
      <c r="D10" s="731"/>
      <c r="E10" s="731"/>
      <c r="F10" s="731"/>
      <c r="G10" s="731"/>
      <c r="H10" s="731"/>
      <c r="I10" s="731"/>
      <c r="J10" s="731"/>
      <c r="K10" s="732"/>
    </row>
    <row r="11" spans="2:11" ht="25" customHeight="1" x14ac:dyDescent="0.35"/>
    <row r="12" spans="2:11" ht="15.5" x14ac:dyDescent="0.35">
      <c r="B12" s="727" t="str">
        <f>'Measure Data'!B42</f>
        <v>Air-cooled Chillers</v>
      </c>
      <c r="C12" s="728"/>
      <c r="D12" s="728"/>
      <c r="E12" s="728"/>
      <c r="F12" s="728"/>
      <c r="G12" s="728"/>
      <c r="H12" s="728"/>
      <c r="I12" s="728"/>
      <c r="J12" s="728"/>
      <c r="K12" s="729"/>
    </row>
    <row r="13" spans="2:11" ht="51" customHeight="1" x14ac:dyDescent="0.35">
      <c r="B13" s="730" t="s">
        <v>1003</v>
      </c>
      <c r="C13" s="731"/>
      <c r="D13" s="731"/>
      <c r="E13" s="731"/>
      <c r="F13" s="731"/>
      <c r="G13" s="731"/>
      <c r="H13" s="731"/>
      <c r="I13" s="731"/>
      <c r="J13" s="731"/>
      <c r="K13" s="732"/>
    </row>
    <row r="14" spans="2:11" ht="42" customHeight="1" x14ac:dyDescent="0.35">
      <c r="B14" s="4" t="s">
        <v>88</v>
      </c>
      <c r="C14" s="4" t="s">
        <v>77</v>
      </c>
      <c r="D14" s="4" t="s">
        <v>85</v>
      </c>
      <c r="E14" s="4" t="s">
        <v>86</v>
      </c>
      <c r="F14" s="4" t="s">
        <v>87</v>
      </c>
      <c r="G14" s="708" t="s">
        <v>105</v>
      </c>
      <c r="H14" s="709"/>
      <c r="I14" s="4" t="s">
        <v>62</v>
      </c>
      <c r="J14" s="4" t="s">
        <v>64</v>
      </c>
      <c r="K14" s="4" t="s">
        <v>65</v>
      </c>
    </row>
    <row r="15" spans="2:11" ht="45" customHeight="1" x14ac:dyDescent="0.35">
      <c r="B15" s="302"/>
      <c r="C15" s="303"/>
      <c r="D15" s="302"/>
      <c r="E15" s="302"/>
      <c r="F15" s="302"/>
      <c r="G15" s="733" t="str">
        <f>_xlfn.IFNA(IF(ISBLANK(VLOOKUP(I15,'Measure Data'!B$44:H$45,5,FALSE)),"",'Measure Data'!F$43 &amp; " " &amp; VLOOKUP(I15,'Measure Data'!B$44:H$45,5,FALSE))
&amp; IF(ISBLANK(VLOOKUP(I15,'Measure Data'!B$44:H$45,6,FALSE)),"", " and" &amp; CHAR(10) &amp; CHAR(13) &amp; 'Measure Data'!G$43 &amp; " " &amp; VLOOKUP(I15,'Measure Data'!B$44:H$45,6,FALSE))
&amp; IF(ISBLANK(VLOOKUP(I15,'Measure Data'!B$44:H$45,7,FALSE)),"", CHAR(10) &amp; CHAR(13) &amp; "(or " &amp; 'Measure Data'!H$43 &amp; " " &amp; VLOOKUP(I15,'Measure Data'!B$44:H$45,7,FALSE) &amp; ")" ),"")</f>
        <v/>
      </c>
      <c r="H15" s="734"/>
      <c r="I15" s="15" t="str">
        <f>IF(AND(C15&gt;'Measure Data'!D$44,C15&lt;='Measure Data'!E$44),'Measure Data'!B$44,
IF(AND(C15&gt;='Measure Data'!D$45,C15&lt;='Measure Data'!E$45),'Measure Data'!B$45,
IF(ISBLANK(C15),"","INELIGIBLE")))</f>
        <v/>
      </c>
      <c r="J15" s="12" t="str">
        <f>IFERROR("$" &amp; VLOOKUP(I15,'Measure Data'!B:J,IF(isPublic,8,9),FALSE) &amp; "/" &amp; VLOOKUP(I15,'Measure Data'!B:K,10,FALSE),"")</f>
        <v/>
      </c>
      <c r="K15" s="14" t="str">
        <f>IFERROR(VLOOKUP(I15,'Measure Data'!B$44:J$45,IF(isPublic,8,9),FALSE)*B15,"")</f>
        <v/>
      </c>
    </row>
    <row r="16" spans="2:11" ht="44.15" hidden="1" customHeight="1" outlineLevel="1" x14ac:dyDescent="0.35">
      <c r="B16" s="302"/>
      <c r="C16" s="303"/>
      <c r="D16" s="363"/>
      <c r="E16" s="393"/>
      <c r="F16" s="363"/>
      <c r="G16" s="733" t="str">
        <f>_xlfn.IFNA(IF(ISBLANK(VLOOKUP(I16,'Measure Data'!B$44:H$45,5,FALSE)),"",'Measure Data'!F$43 &amp; " " &amp; VLOOKUP(I16,'Measure Data'!B$44:H$45,5,FALSE))
&amp; IF(ISBLANK(VLOOKUP(I16,'Measure Data'!B$44:H$45,6,FALSE)),"", " and" &amp; CHAR(10) &amp; CHAR(13) &amp; 'Measure Data'!G$43 &amp; " " &amp; VLOOKUP(I16,'Measure Data'!B$44:H$45,6,FALSE))
&amp; IF(ISBLANK(VLOOKUP(I16,'Measure Data'!B$44:H$45,7,FALSE)),"", CHAR(10) &amp; CHAR(13) &amp; "(or " &amp; 'Measure Data'!H$43 &amp; " " &amp; VLOOKUP(I16,'Measure Data'!B$44:H$45,7,FALSE) &amp; ")" ),"")</f>
        <v/>
      </c>
      <c r="H16" s="734"/>
      <c r="I16" s="15" t="str">
        <f>IF(AND(C16&gt;'Measure Data'!D$44,C16&lt;='Measure Data'!E$44),'Measure Data'!B$44,
IF(AND(C16&gt;='Measure Data'!D$45,C16&lt;='Measure Data'!E$45),'Measure Data'!B$45,
IF(ISBLANK(C16),"","INELIGIBLE")))</f>
        <v/>
      </c>
      <c r="J16" s="12" t="str">
        <f>IFERROR("$" &amp; VLOOKUP(I16,'Measure Data'!B:J,IF(isPublic,8,9),FALSE) &amp; "/" &amp; VLOOKUP(I16,'Measure Data'!B:K,10,FALSE),"")</f>
        <v/>
      </c>
      <c r="K16" s="14" t="str">
        <f>IFERROR(VLOOKUP(I16,'Measure Data'!B$44:J$45,IF(isPublic,8,9),FALSE)*B16,"")</f>
        <v/>
      </c>
    </row>
    <row r="17" spans="2:11" collapsed="1" x14ac:dyDescent="0.35">
      <c r="B17" s="266" t="s">
        <v>739</v>
      </c>
    </row>
    <row r="18" spans="2:11" ht="25" customHeight="1" x14ac:dyDescent="0.35"/>
    <row r="19" spans="2:11" ht="15.5" x14ac:dyDescent="0.35">
      <c r="B19" s="693" t="str">
        <f>'Measure Data'!B48</f>
        <v>PTAC/PTHP Units</v>
      </c>
      <c r="C19" s="693"/>
      <c r="D19" s="693"/>
      <c r="E19" s="693"/>
      <c r="F19" s="693"/>
      <c r="G19" s="693"/>
      <c r="H19" s="693"/>
      <c r="I19" s="693"/>
      <c r="J19" s="693"/>
      <c r="K19" s="693"/>
    </row>
    <row r="20" spans="2:11" ht="52.5" customHeight="1" x14ac:dyDescent="0.35">
      <c r="B20" s="730" t="s">
        <v>975</v>
      </c>
      <c r="C20" s="731"/>
      <c r="D20" s="731"/>
      <c r="E20" s="731"/>
      <c r="F20" s="731"/>
      <c r="G20" s="731"/>
      <c r="H20" s="731"/>
      <c r="I20" s="731"/>
      <c r="J20" s="731"/>
      <c r="K20" s="732"/>
    </row>
    <row r="21" spans="2:11" ht="26" x14ac:dyDescent="0.35">
      <c r="B21" s="4" t="s">
        <v>63</v>
      </c>
      <c r="C21" s="4" t="s">
        <v>78</v>
      </c>
      <c r="D21" s="4" t="s">
        <v>104</v>
      </c>
      <c r="E21" s="4" t="s">
        <v>83</v>
      </c>
      <c r="F21" s="4" t="s">
        <v>84</v>
      </c>
      <c r="G21" s="708" t="s">
        <v>105</v>
      </c>
      <c r="H21" s="709"/>
      <c r="I21" s="4" t="s">
        <v>62</v>
      </c>
      <c r="J21" s="4" t="s">
        <v>64</v>
      </c>
      <c r="K21" s="4" t="s">
        <v>65</v>
      </c>
    </row>
    <row r="22" spans="2:11" ht="26.5" customHeight="1" x14ac:dyDescent="0.35">
      <c r="B22" s="302"/>
      <c r="C22" s="320"/>
      <c r="D22" s="320"/>
      <c r="E22" s="302"/>
      <c r="F22" s="302"/>
      <c r="G22" s="733" t="str">
        <f>IF(ISBLANK(C22),"",'Measure Data'!E$49&amp;" "&amp;'Measure Data'!E$50&amp;CHAR(10)&amp;CHAR(13)&amp;'Measure Data'!F$49&amp;" "&amp;'Measure Data'!F$50&amp;" or "&amp;'Measure Data'!G$49&amp;" "&amp;'Measure Data'!G$50)</f>
        <v/>
      </c>
      <c r="H22" s="734"/>
      <c r="I22" s="10" t="str">
        <f>IF(AND(C22&gt;'Measure Data'!D$50,C22&lt;='Measure Data'!E$50),'Measure Data'!B$50,
IF(ISBLANK(C22),"","NOT ELIGIBLE"))</f>
        <v/>
      </c>
      <c r="J22" s="12" t="str">
        <f>IFERROR("$" &amp; VLOOKUP(I22,'Measure Data'!B:J,IF(isPublic,8,9),FALSE) &amp; "/" &amp; VLOOKUP(I22,'Measure Data'!B:K,10,FALSE),"")</f>
        <v/>
      </c>
      <c r="K22" s="14" t="str">
        <f>IFERROR(VLOOKUP(I22,'Measure Data'!B$50:J$50,IF(isPublic,8,9),FALSE)*B22,"")</f>
        <v/>
      </c>
    </row>
    <row r="23" spans="2:11" ht="26.5" customHeight="1" x14ac:dyDescent="0.35">
      <c r="B23" s="302"/>
      <c r="C23" s="365"/>
      <c r="D23" s="320"/>
      <c r="E23" s="363"/>
      <c r="F23" s="363"/>
      <c r="G23" s="733" t="str">
        <f>IF(ISBLANK(C23),"",'Measure Data'!E$49&amp;" "&amp;'Measure Data'!E$50&amp;CHAR(10)&amp;CHAR(13)&amp;'Measure Data'!F$49&amp;" "&amp;'Measure Data'!F$50&amp;" or "&amp;'Measure Data'!G$49&amp;" "&amp;'Measure Data'!G$50)</f>
        <v/>
      </c>
      <c r="H23" s="734"/>
      <c r="I23" s="10" t="str">
        <f>IF(AND(C23&gt;'Measure Data'!D$50,C23&lt;='Measure Data'!E$50),'Measure Data'!B$50,
IF(ISBLANK(C23),"","NOT ELIGIBLE"))</f>
        <v/>
      </c>
      <c r="J23" s="12" t="str">
        <f>IFERROR("$" &amp; VLOOKUP(I23,'Measure Data'!B:J,IF(isPublic,8,9),FALSE) &amp; "/" &amp; VLOOKUP(I23,'Measure Data'!B:K,10,FALSE),"")</f>
        <v/>
      </c>
      <c r="K23" s="14" t="str">
        <f>IFERROR(VLOOKUP(I23,'Measure Data'!B$50:J$50,IF(isPublic,8,9),FALSE)*B23,"")</f>
        <v/>
      </c>
    </row>
    <row r="24" spans="2:11" ht="26.5" hidden="1" customHeight="1" outlineLevel="1" x14ac:dyDescent="0.35">
      <c r="B24" s="302"/>
      <c r="C24" s="365"/>
      <c r="D24" s="320"/>
      <c r="E24" s="363"/>
      <c r="F24" s="363"/>
      <c r="G24" s="733" t="str">
        <f>IF(ISBLANK(C24),"",'Measure Data'!E$49&amp;" "&amp;'Measure Data'!E$50&amp;CHAR(10)&amp;CHAR(13)&amp;'Measure Data'!F$49&amp;" "&amp;'Measure Data'!F$50&amp;" or "&amp;'Measure Data'!G$49&amp;" "&amp;'Measure Data'!G$50)</f>
        <v/>
      </c>
      <c r="H24" s="734"/>
      <c r="I24" s="10" t="str">
        <f>IF(AND(C24&gt;'Measure Data'!D$50,C24&lt;='Measure Data'!E$50),'Measure Data'!B$50,
IF(ISBLANK(C24),"","NOT ELIGIBLE"))</f>
        <v/>
      </c>
      <c r="J24" s="12" t="str">
        <f>IFERROR("$" &amp; VLOOKUP(I24,'Measure Data'!B:J,IF(isPublic,8,9),FALSE) &amp; "/" &amp; VLOOKUP(I24,'Measure Data'!B:K,10,FALSE),"")</f>
        <v/>
      </c>
      <c r="K24" s="14" t="str">
        <f>IFERROR(VLOOKUP(I24,'Measure Data'!B$50:J$50,IF(isPublic,8,9),FALSE)*B24,"")</f>
        <v/>
      </c>
    </row>
    <row r="25" spans="2:11" ht="26.5" hidden="1" customHeight="1" outlineLevel="1" x14ac:dyDescent="0.35">
      <c r="B25" s="302"/>
      <c r="C25" s="365"/>
      <c r="D25" s="320"/>
      <c r="E25" s="363"/>
      <c r="F25" s="363"/>
      <c r="G25" s="733" t="str">
        <f>IF(ISBLANK(C25),"",'Measure Data'!E$49&amp;" "&amp;'Measure Data'!E$50&amp;CHAR(10)&amp;CHAR(13)&amp;'Measure Data'!F$49&amp;" "&amp;'Measure Data'!F$50&amp;" or "&amp;'Measure Data'!G$49&amp;" "&amp;'Measure Data'!G$50)</f>
        <v/>
      </c>
      <c r="H25" s="734"/>
      <c r="I25" s="10" t="str">
        <f>IF(AND(C25&gt;'Measure Data'!D$50,C25&lt;='Measure Data'!E$50),'Measure Data'!B$50,
IF(ISBLANK(C25),"","NOT ELIGIBLE"))</f>
        <v/>
      </c>
      <c r="J25" s="12" t="str">
        <f>IFERROR("$" &amp; VLOOKUP(I25,'Measure Data'!B:J,IF(isPublic,8,9),FALSE) &amp; "/" &amp; VLOOKUP(I25,'Measure Data'!B:K,10,FALSE),"")</f>
        <v/>
      </c>
      <c r="K25" s="14" t="str">
        <f>IFERROR(VLOOKUP(I25,'Measure Data'!B$50:J$50,IF(isPublic,8,9),FALSE)*B25,"")</f>
        <v/>
      </c>
    </row>
    <row r="26" spans="2:11" ht="26.5" hidden="1" customHeight="1" outlineLevel="1" x14ac:dyDescent="0.35">
      <c r="B26" s="302"/>
      <c r="C26" s="365"/>
      <c r="D26" s="320"/>
      <c r="E26" s="363"/>
      <c r="F26" s="363"/>
      <c r="G26" s="733" t="str">
        <f>IF(ISBLANK(C26),"",'Measure Data'!E$49&amp;" "&amp;'Measure Data'!E$50&amp;CHAR(10)&amp;CHAR(13)&amp;'Measure Data'!F$49&amp;" "&amp;'Measure Data'!F$50&amp;" or "&amp;'Measure Data'!G$49&amp;" "&amp;'Measure Data'!G$50)</f>
        <v/>
      </c>
      <c r="H26" s="734"/>
      <c r="I26" s="10" t="str">
        <f>IF(AND(C26&gt;'Measure Data'!D$50,C26&lt;='Measure Data'!E$50),'Measure Data'!B$50,
IF(ISBLANK(C26),"","NOT ELIGIBLE"))</f>
        <v/>
      </c>
      <c r="J26" s="12" t="str">
        <f>IFERROR("$" &amp; VLOOKUP(I26,'Measure Data'!B:J,IF(isPublic,8,9),FALSE) &amp; "/" &amp; VLOOKUP(I26,'Measure Data'!B:K,10,FALSE),"")</f>
        <v/>
      </c>
      <c r="K26" s="14" t="str">
        <f>IFERROR(VLOOKUP(I26,'Measure Data'!B$50:J$50,IF(isPublic,8,9),FALSE)*B26,"")</f>
        <v/>
      </c>
    </row>
    <row r="27" spans="2:11" ht="26.5" hidden="1" customHeight="1" outlineLevel="1" x14ac:dyDescent="0.35">
      <c r="B27" s="302"/>
      <c r="C27" s="365"/>
      <c r="D27" s="320"/>
      <c r="E27" s="363"/>
      <c r="F27" s="363"/>
      <c r="G27" s="733" t="str">
        <f>IF(ISBLANK(C27),"",'Measure Data'!E$49&amp;" "&amp;'Measure Data'!E$50&amp;CHAR(10)&amp;CHAR(13)&amp;'Measure Data'!F$49&amp;" "&amp;'Measure Data'!F$50&amp;" or "&amp;'Measure Data'!G$49&amp;" "&amp;'Measure Data'!G$50)</f>
        <v/>
      </c>
      <c r="H27" s="734"/>
      <c r="I27" s="10" t="str">
        <f>IF(AND(C27&gt;'Measure Data'!D$50,C27&lt;='Measure Data'!E$50),'Measure Data'!B$50,
IF(ISBLANK(C27),"","NOT ELIGIBLE"))</f>
        <v/>
      </c>
      <c r="J27" s="12" t="str">
        <f>IFERROR("$" &amp; VLOOKUP(I27,'Measure Data'!B:J,IF(isPublic,8,9),FALSE) &amp; "/" &amp; VLOOKUP(I27,'Measure Data'!B:K,10,FALSE),"")</f>
        <v/>
      </c>
      <c r="K27" s="14" t="str">
        <f>IFERROR(VLOOKUP(I27,'Measure Data'!B$50:J$50,IF(isPublic,8,9),FALSE)*B27,"")</f>
        <v/>
      </c>
    </row>
    <row r="28" spans="2:11" ht="26.5" hidden="1" customHeight="1" outlineLevel="1" x14ac:dyDescent="0.35">
      <c r="B28" s="302"/>
      <c r="C28" s="365"/>
      <c r="D28" s="320"/>
      <c r="E28" s="363"/>
      <c r="F28" s="363"/>
      <c r="G28" s="733" t="str">
        <f>IF(ISBLANK(C28),"",'Measure Data'!E$49&amp;" "&amp;'Measure Data'!E$50&amp;CHAR(10)&amp;CHAR(13)&amp;'Measure Data'!F$49&amp;" "&amp;'Measure Data'!F$50&amp;" or "&amp;'Measure Data'!G$49&amp;" "&amp;'Measure Data'!G$50)</f>
        <v/>
      </c>
      <c r="H28" s="734"/>
      <c r="I28" s="10" t="str">
        <f>IF(AND(C28&gt;'Measure Data'!D$50,C28&lt;='Measure Data'!E$50),'Measure Data'!B$50,
IF(ISBLANK(C28),"","NOT ELIGIBLE"))</f>
        <v/>
      </c>
      <c r="J28" s="12" t="str">
        <f>IFERROR("$" &amp; VLOOKUP(I28,'Measure Data'!B:J,IF(isPublic,8,9),FALSE) &amp; "/" &amp; VLOOKUP(I28,'Measure Data'!B:K,10,FALSE),"")</f>
        <v/>
      </c>
      <c r="K28" s="14" t="str">
        <f>IFERROR(VLOOKUP(I28,'Measure Data'!B$50:J$50,IF(isPublic,8,9),FALSE)*B28,"")</f>
        <v/>
      </c>
    </row>
    <row r="29" spans="2:11" ht="26.5" hidden="1" customHeight="1" outlineLevel="1" x14ac:dyDescent="0.35">
      <c r="B29" s="302"/>
      <c r="C29" s="365"/>
      <c r="D29" s="320"/>
      <c r="E29" s="363"/>
      <c r="F29" s="363"/>
      <c r="G29" s="733" t="str">
        <f>IF(ISBLANK(C29),"",'Measure Data'!E$49&amp;" "&amp;'Measure Data'!E$50&amp;CHAR(10)&amp;CHAR(13)&amp;'Measure Data'!F$49&amp;" "&amp;'Measure Data'!F$50&amp;" or "&amp;'Measure Data'!G$49&amp;" "&amp;'Measure Data'!G$50)</f>
        <v/>
      </c>
      <c r="H29" s="734"/>
      <c r="I29" s="10" t="str">
        <f>IF(AND(C29&gt;'Measure Data'!D$50,C29&lt;='Measure Data'!E$50),'Measure Data'!B$50,
IF(ISBLANK(C29),"","NOT ELIGIBLE"))</f>
        <v/>
      </c>
      <c r="J29" s="12" t="str">
        <f>IFERROR("$" &amp; VLOOKUP(I29,'Measure Data'!B:J,IF(isPublic,8,9),FALSE) &amp; "/" &amp; VLOOKUP(I29,'Measure Data'!B:K,10,FALSE),"")</f>
        <v/>
      </c>
      <c r="K29" s="14" t="str">
        <f>IFERROR(VLOOKUP(I29,'Measure Data'!B$50:J$50,IF(isPublic,8,9),FALSE)*B29,"")</f>
        <v/>
      </c>
    </row>
    <row r="30" spans="2:11" collapsed="1" x14ac:dyDescent="0.35">
      <c r="B30" s="266" t="s">
        <v>739</v>
      </c>
    </row>
    <row r="31" spans="2:11" ht="25" customHeight="1" x14ac:dyDescent="0.35"/>
  </sheetData>
  <sheetProtection selectLockedCells="1"/>
  <mergeCells count="20">
    <mergeCell ref="G23:H23"/>
    <mergeCell ref="G14:H14"/>
    <mergeCell ref="G15:H15"/>
    <mergeCell ref="G16:H16"/>
    <mergeCell ref="G21:H21"/>
    <mergeCell ref="G22:H22"/>
    <mergeCell ref="B20:K20"/>
    <mergeCell ref="G29:H29"/>
    <mergeCell ref="G24:H24"/>
    <mergeCell ref="G25:H25"/>
    <mergeCell ref="G26:H26"/>
    <mergeCell ref="G27:H27"/>
    <mergeCell ref="G28:H28"/>
    <mergeCell ref="B9:K9"/>
    <mergeCell ref="B12:K12"/>
    <mergeCell ref="B19:K19"/>
    <mergeCell ref="B10:K10"/>
    <mergeCell ref="B2:K2"/>
    <mergeCell ref="B3:K7"/>
    <mergeCell ref="B13:K13"/>
  </mergeCells>
  <dataValidations count="1">
    <dataValidation type="whole" operator="lessThanOrEqual" allowBlank="1" showInputMessage="1" showErrorMessage="1" errorTitle="INVALID ENTRY" error="Only one unit is allowable per measure" sqref="B15:B16" xr:uid="{00000000-0002-0000-0900-000000000000}">
      <formula1>1</formula1>
    </dataValidation>
  </dataValidations>
  <pageMargins left="0.7" right="0.7" top="0.75" bottom="0.75" header="0.3" footer="0.3"/>
  <pageSetup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extLst>
    <ext xmlns:x14="http://schemas.microsoft.com/office/spreadsheetml/2009/9/main" uri="{CCE6A557-97BC-4b89-ADB6-D9C93CAAB3DF}">
      <x14:dataValidations xmlns:xm="http://schemas.microsoft.com/office/excel/2006/main" count="6">
        <x14:dataValidation type="decimal" allowBlank="1" showInputMessage="1" showErrorMessage="1" error="Value must meet minimum EER criteria (see 'Additional Critera' column to the right)" xr:uid="{00000000-0002-0000-0900-000004000000}">
          <x14:formula1>
            <xm:f>VLOOKUP(I15,'Measure Data'!B$44:F$45,5,FALSE)</xm:f>
          </x14:formula1>
          <x14:formula2>
            <xm:f>999999999</xm:f>
          </x14:formula2>
          <xm:sqref>D15:D16</xm:sqref>
        </x14:dataValidation>
        <x14:dataValidation type="decimal" allowBlank="1" showInputMessage="1" showErrorMessage="1" error="Value must not exceed maximum IPLV EER criteria (see 'Additional Critera' column to the right)" xr:uid="{00000000-0002-0000-0900-000006000000}">
          <x14:formula1>
            <xm:f>0</xm:f>
          </x14:formula1>
          <x14:formula2>
            <xm:f>VLOOKUP(I15,'Measure Data'!B$44:H$45,7,FALSE)</xm:f>
          </x14:formula2>
          <xm:sqref>F15:F16</xm:sqref>
        </x14:dataValidation>
        <x14:dataValidation type="decimal" allowBlank="1" showInputMessage="1" showErrorMessage="1" error="Value must be a number 65 or less" xr:uid="{00000000-0002-0000-0900-000007000000}">
          <x14:formula1>
            <xm:f>0</xm:f>
          </x14:formula1>
          <x14:formula2>
            <xm:f>'Measure Data'!E$50</xm:f>
          </x14:formula2>
          <xm:sqref>C22:C29</xm:sqref>
        </x14:dataValidation>
        <x14:dataValidation type="decimal" allowBlank="1" showInputMessage="1" showErrorMessage="1" error="Value must meet minimum EER criteria (see 'Additional Critera' column to the right)" xr:uid="{00000000-0002-0000-0900-000008000000}">
          <x14:formula1>
            <xm:f>'Measure Data'!F$50</xm:f>
          </x14:formula1>
          <x14:formula2>
            <xm:f>999999999</xm:f>
          </x14:formula2>
          <xm:sqref>E22:E29</xm:sqref>
        </x14:dataValidation>
        <x14:dataValidation type="decimal" allowBlank="1" showInputMessage="1" showErrorMessage="1" error="Value must meet minimum SEER criteria (see 'Additional Critera' column to the right)" xr:uid="{00000000-0002-0000-0900-000009000000}">
          <x14:formula1>
            <xm:f>'Measure Data'!G$50</xm:f>
          </x14:formula1>
          <x14:formula2>
            <xm:f>999999999</xm:f>
          </x14:formula2>
          <xm:sqref>F22:F29</xm:sqref>
        </x14:dataValidation>
        <x14:dataValidation type="decimal" allowBlank="1" showInputMessage="1" showErrorMessage="1" error="Value must not exceed maximum IPLV criteria (see 'Additional Critera' column to the right)" xr:uid="{8DF930B0-5818-403E-8F64-AD7116E7E4BF}">
          <x14:formula1>
            <xm:f>VLOOKUP(I15,'Measure Data'!B$44:G$45,6,FALSE)</xm:f>
          </x14:formula1>
          <x14:formula2>
            <xm:f>999999999</xm:f>
          </x14:formula2>
          <xm:sqref>E15:E16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autoPageBreaks="0"/>
  </sheetPr>
  <dimension ref="A2:K20"/>
  <sheetViews>
    <sheetView showGridLines="0" showRowColHeaders="0" zoomScale="90" zoomScaleNormal="90" workbookViewId="0">
      <selection activeCell="B2" sqref="B2:I2"/>
    </sheetView>
  </sheetViews>
  <sheetFormatPr defaultRowHeight="14.5" x14ac:dyDescent="0.35"/>
  <cols>
    <col min="1" max="1" width="6.81640625" customWidth="1"/>
    <col min="2" max="2" width="14.1796875" style="71" customWidth="1"/>
    <col min="3" max="7" width="14.1796875" customWidth="1"/>
    <col min="8" max="8" width="18.1796875" customWidth="1"/>
    <col min="9" max="9" width="14.1796875" customWidth="1"/>
  </cols>
  <sheetData>
    <row r="2" spans="1:11" ht="21" x14ac:dyDescent="0.35">
      <c r="B2" s="741" t="s">
        <v>914</v>
      </c>
      <c r="C2" s="742"/>
      <c r="D2" s="742"/>
      <c r="E2" s="742"/>
      <c r="F2" s="742"/>
      <c r="G2" s="742"/>
      <c r="H2" s="742"/>
      <c r="I2" s="743"/>
      <c r="J2" s="360"/>
      <c r="K2" s="361"/>
    </row>
    <row r="3" spans="1:11" ht="21.65" customHeight="1" x14ac:dyDescent="0.35">
      <c r="B3" s="616" t="s">
        <v>912</v>
      </c>
      <c r="C3" s="617"/>
      <c r="D3" s="617"/>
      <c r="E3" s="617"/>
      <c r="F3" s="617"/>
      <c r="G3" s="617"/>
      <c r="H3" s="617"/>
      <c r="I3" s="618"/>
      <c r="J3" s="331"/>
      <c r="K3" s="331"/>
    </row>
    <row r="4" spans="1:11" ht="21.65" customHeight="1" x14ac:dyDescent="0.35">
      <c r="B4" s="619"/>
      <c r="C4" s="535"/>
      <c r="D4" s="535"/>
      <c r="E4" s="535"/>
      <c r="F4" s="535"/>
      <c r="G4" s="535"/>
      <c r="H4" s="535"/>
      <c r="I4" s="620"/>
    </row>
    <row r="5" spans="1:11" ht="21.65" customHeight="1" x14ac:dyDescent="0.35">
      <c r="B5" s="619"/>
      <c r="C5" s="535"/>
      <c r="D5" s="535"/>
      <c r="E5" s="535"/>
      <c r="F5" s="535"/>
      <c r="G5" s="535"/>
      <c r="H5" s="535"/>
      <c r="I5" s="620"/>
    </row>
    <row r="6" spans="1:11" ht="21.65" customHeight="1" x14ac:dyDescent="0.35">
      <c r="B6" s="619"/>
      <c r="C6" s="535"/>
      <c r="D6" s="535"/>
      <c r="E6" s="535"/>
      <c r="F6" s="535"/>
      <c r="G6" s="535"/>
      <c r="H6" s="535"/>
      <c r="I6" s="620"/>
    </row>
    <row r="7" spans="1:11" ht="21.65" customHeight="1" x14ac:dyDescent="0.35">
      <c r="B7" s="621"/>
      <c r="C7" s="622"/>
      <c r="D7" s="622"/>
      <c r="E7" s="622"/>
      <c r="F7" s="622"/>
      <c r="G7" s="622"/>
      <c r="H7" s="622"/>
      <c r="I7" s="623"/>
    </row>
    <row r="9" spans="1:11" ht="15.5" x14ac:dyDescent="0.35">
      <c r="B9" s="744" t="str">
        <f>'Measure Data'!B53</f>
        <v>Controls for Multifamily Facility Hot Water</v>
      </c>
      <c r="C9" s="725"/>
      <c r="D9" s="725"/>
      <c r="E9" s="725"/>
      <c r="F9" s="725"/>
      <c r="G9" s="725"/>
      <c r="H9" s="725"/>
      <c r="I9" s="726"/>
    </row>
    <row r="10" spans="1:11" ht="64" customHeight="1" x14ac:dyDescent="0.35">
      <c r="A10" s="5"/>
      <c r="B10" s="730" t="s">
        <v>998</v>
      </c>
      <c r="C10" s="731"/>
      <c r="D10" s="731"/>
      <c r="E10" s="731"/>
      <c r="F10" s="731"/>
      <c r="G10" s="731"/>
      <c r="H10" s="731"/>
      <c r="I10" s="732"/>
    </row>
    <row r="11" spans="1:11" ht="26" x14ac:dyDescent="0.35">
      <c r="A11" s="5"/>
      <c r="B11" s="708" t="s">
        <v>875</v>
      </c>
      <c r="C11" s="709"/>
      <c r="D11" s="738"/>
      <c r="E11" s="739"/>
      <c r="F11" s="740"/>
      <c r="G11" s="4" t="s">
        <v>62</v>
      </c>
      <c r="H11" s="4" t="s">
        <v>64</v>
      </c>
      <c r="I11" s="4" t="s">
        <v>65</v>
      </c>
    </row>
    <row r="12" spans="1:11" ht="26.5" customHeight="1" x14ac:dyDescent="0.35">
      <c r="B12" s="736"/>
      <c r="C12" s="737"/>
      <c r="D12" s="738"/>
      <c r="E12" s="739"/>
      <c r="F12" s="740"/>
      <c r="G12" s="15" t="str">
        <f>IF(ISBLANK(B12),"",'Measure Data'!B55)</f>
        <v/>
      </c>
      <c r="H12" s="12" t="str">
        <f>IFERROR("$" &amp; VLOOKUP(G12,'Measure Data'!B:J,IF(isPublic,8,9),FALSE) &amp; "/" &amp; VLOOKUP(G12,'Measure Data'!B:K,10,FALSE),"")</f>
        <v/>
      </c>
      <c r="I12" s="14" t="str">
        <f>IFERROR(VLOOKUP(G12,'Measure Data'!B:J,IF(isPublic,8,9),FALSE)*B12,"")</f>
        <v/>
      </c>
    </row>
    <row r="14" spans="1:11" ht="15.5" x14ac:dyDescent="0.35">
      <c r="B14" s="744" t="str">
        <f>'Measure Data'!B65</f>
        <v>Commercial Tanked Water Heaters (Gas)</v>
      </c>
      <c r="C14" s="725"/>
      <c r="D14" s="725"/>
      <c r="E14" s="725"/>
      <c r="F14" s="725"/>
      <c r="G14" s="725"/>
      <c r="H14" s="725"/>
      <c r="I14" s="726"/>
    </row>
    <row r="15" spans="1:11" ht="51.65" customHeight="1" x14ac:dyDescent="0.35">
      <c r="A15" s="5"/>
      <c r="B15" s="730" t="s">
        <v>999</v>
      </c>
      <c r="C15" s="731"/>
      <c r="D15" s="731"/>
      <c r="E15" s="731"/>
      <c r="F15" s="731"/>
      <c r="G15" s="731"/>
      <c r="H15" s="731"/>
      <c r="I15" s="732"/>
    </row>
    <row r="16" spans="1:11" ht="26" x14ac:dyDescent="0.35">
      <c r="A16" s="5"/>
      <c r="B16" s="279" t="s">
        <v>63</v>
      </c>
      <c r="C16" s="715"/>
      <c r="D16" s="715"/>
      <c r="E16" s="715"/>
      <c r="F16" s="709"/>
      <c r="G16" s="279" t="s">
        <v>62</v>
      </c>
      <c r="H16" s="279" t="s">
        <v>64</v>
      </c>
      <c r="I16" s="279" t="s">
        <v>65</v>
      </c>
    </row>
    <row r="17" spans="2:9" ht="26.5" customHeight="1" x14ac:dyDescent="0.35">
      <c r="B17" s="303"/>
      <c r="C17" s="715"/>
      <c r="D17" s="715"/>
      <c r="E17" s="715"/>
      <c r="F17" s="709"/>
      <c r="G17" s="15" t="str">
        <f>IF(ISBLANK(B17),"",'Measure Data'!B67)</f>
        <v/>
      </c>
      <c r="H17" s="12" t="str">
        <f>IFERROR("$" &amp; VLOOKUP(G17,'Measure Data'!B:J,IF(isPublic,8,9),FALSE) &amp; "/" &amp; VLOOKUP(G17,'Measure Data'!B:K,10,FALSE),"")</f>
        <v/>
      </c>
      <c r="I17" s="14" t="str">
        <f>IFERROR(VLOOKUP(G17,'Measure Data'!B:J,IF(isPublic,8,9),FALSE)*B17,"")</f>
        <v/>
      </c>
    </row>
    <row r="20" spans="2:9" ht="25.5" customHeight="1" x14ac:dyDescent="0.35">
      <c r="B20" s="735" t="str">
        <f>'Measure Data'!B25 &amp; " (see the 'HVAC - Heating' tab)"</f>
        <v>Gas Boilers (see the 'HVAC - Heating' tab)</v>
      </c>
      <c r="C20" s="725"/>
      <c r="D20" s="725"/>
      <c r="E20" s="725"/>
      <c r="F20" s="725"/>
      <c r="G20" s="725"/>
      <c r="H20" s="725"/>
      <c r="I20" s="726"/>
    </row>
  </sheetData>
  <mergeCells count="13">
    <mergeCell ref="B2:I2"/>
    <mergeCell ref="C16:F16"/>
    <mergeCell ref="C17:F17"/>
    <mergeCell ref="B14:I14"/>
    <mergeCell ref="B15:I15"/>
    <mergeCell ref="B9:I9"/>
    <mergeCell ref="B3:I7"/>
    <mergeCell ref="B20:I20"/>
    <mergeCell ref="B10:I10"/>
    <mergeCell ref="B11:C11"/>
    <mergeCell ref="B12:C12"/>
    <mergeCell ref="D11:F11"/>
    <mergeCell ref="D12:F12"/>
  </mergeCells>
  <pageMargins left="0.7" right="0.7" top="0.75" bottom="0.75" header="0.3" footer="0.3"/>
  <pageSetup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autoPageBreaks="0"/>
  </sheetPr>
  <dimension ref="B1:M46"/>
  <sheetViews>
    <sheetView showGridLines="0" showRowColHeaders="0" zoomScale="90" zoomScaleNormal="90" workbookViewId="0">
      <pane ySplit="2" topLeftCell="A3" activePane="bottomLeft" state="frozen"/>
      <selection activeCell="M35" sqref="M35"/>
      <selection pane="bottomLeft" activeCell="B2" sqref="B2:D2"/>
    </sheetView>
  </sheetViews>
  <sheetFormatPr defaultRowHeight="14.5" outlineLevelCol="1" x14ac:dyDescent="0.35"/>
  <cols>
    <col min="1" max="1" width="7.1796875" customWidth="1"/>
    <col min="2" max="2" width="54.7265625" style="86" customWidth="1"/>
    <col min="3" max="3" width="21.08984375" customWidth="1"/>
    <col min="4" max="4" width="30.81640625" customWidth="1"/>
    <col min="5" max="5" width="2" style="29" hidden="1" customWidth="1" outlineLevel="1"/>
    <col min="6" max="6" width="32.36328125" hidden="1" customWidth="1" outlineLevel="1"/>
    <col min="7" max="7" width="2" style="29" hidden="1" customWidth="1" outlineLevel="1"/>
    <col min="8" max="8" width="32.36328125" style="454" hidden="1" customWidth="1" outlineLevel="1"/>
    <col min="9" max="9" width="2" style="29" hidden="1" customWidth="1" outlineLevel="1"/>
    <col min="10" max="10" width="32.36328125" style="454" hidden="1" customWidth="1" outlineLevel="1"/>
    <col min="11" max="11" width="8.7265625" collapsed="1"/>
    <col min="12" max="12" width="12.1796875" hidden="1" customWidth="1"/>
    <col min="13" max="13" width="12.453125" hidden="1" customWidth="1"/>
  </cols>
  <sheetData>
    <row r="1" spans="2:13" s="454" customFormat="1" x14ac:dyDescent="0.35">
      <c r="B1" s="86"/>
      <c r="E1" s="29"/>
      <c r="G1" s="29"/>
      <c r="I1" s="29"/>
    </row>
    <row r="2" spans="2:13" ht="21" x14ac:dyDescent="0.35">
      <c r="B2" s="741" t="s">
        <v>915</v>
      </c>
      <c r="C2" s="742"/>
      <c r="D2" s="743"/>
      <c r="E2" s="463"/>
      <c r="F2" s="361"/>
      <c r="G2" s="463"/>
      <c r="H2" s="361"/>
      <c r="I2" s="463"/>
      <c r="J2" s="361"/>
      <c r="K2" s="489" t="s">
        <v>1055</v>
      </c>
      <c r="L2" s="361"/>
      <c r="M2" s="361"/>
    </row>
    <row r="3" spans="2:13" ht="34.5" customHeight="1" x14ac:dyDescent="0.35">
      <c r="B3" s="759" t="s">
        <v>1118</v>
      </c>
      <c r="C3" s="760"/>
      <c r="D3" s="761"/>
      <c r="E3" s="464"/>
      <c r="F3" s="331"/>
      <c r="G3" s="464"/>
      <c r="H3" s="331"/>
      <c r="I3" s="464"/>
      <c r="J3" s="331"/>
      <c r="K3" s="331"/>
      <c r="L3" s="331"/>
      <c r="M3" s="331"/>
    </row>
    <row r="4" spans="2:13" ht="34.5" customHeight="1" x14ac:dyDescent="0.35">
      <c r="B4" s="762"/>
      <c r="C4" s="763"/>
      <c r="D4" s="764"/>
      <c r="E4" s="464"/>
      <c r="F4" s="331"/>
      <c r="G4" s="464"/>
      <c r="H4" s="331"/>
      <c r="I4" s="464"/>
      <c r="J4" s="331"/>
      <c r="K4" s="331"/>
      <c r="L4" s="331"/>
      <c r="M4" s="331"/>
    </row>
    <row r="5" spans="2:13" ht="34.5" customHeight="1" x14ac:dyDescent="0.35">
      <c r="B5" s="762"/>
      <c r="C5" s="763"/>
      <c r="D5" s="764"/>
      <c r="E5" s="464"/>
      <c r="G5" s="464"/>
      <c r="I5" s="464"/>
    </row>
    <row r="6" spans="2:13" ht="34.5" customHeight="1" x14ac:dyDescent="0.35">
      <c r="B6" s="762"/>
      <c r="C6" s="763"/>
      <c r="D6" s="764"/>
      <c r="E6" s="464"/>
      <c r="G6" s="464"/>
      <c r="I6" s="464"/>
    </row>
    <row r="7" spans="2:13" ht="34.5" customHeight="1" x14ac:dyDescent="0.35">
      <c r="B7" s="762"/>
      <c r="C7" s="763"/>
      <c r="D7" s="764"/>
      <c r="E7" s="464"/>
      <c r="G7" s="464"/>
      <c r="I7" s="464"/>
    </row>
    <row r="8" spans="2:13" ht="34.5" customHeight="1" x14ac:dyDescent="0.35">
      <c r="B8" s="762"/>
      <c r="C8" s="763"/>
      <c r="D8" s="764"/>
      <c r="E8" s="464"/>
      <c r="G8" s="464"/>
      <c r="I8" s="464"/>
    </row>
    <row r="9" spans="2:13" ht="34.5" customHeight="1" x14ac:dyDescent="0.35">
      <c r="B9" s="765"/>
      <c r="C9" s="766"/>
      <c r="D9" s="767"/>
      <c r="E9" s="464"/>
      <c r="G9" s="464"/>
      <c r="I9" s="464"/>
    </row>
    <row r="10" spans="2:13" ht="8.15" customHeight="1" x14ac:dyDescent="0.35"/>
    <row r="11" spans="2:13" ht="18.649999999999999" customHeight="1" x14ac:dyDescent="0.35">
      <c r="B11" s="689" t="s">
        <v>918</v>
      </c>
      <c r="C11" s="757"/>
      <c r="D11" s="758"/>
      <c r="E11" s="465"/>
      <c r="F11" s="437"/>
      <c r="G11" s="465"/>
      <c r="H11" s="437"/>
      <c r="I11" s="465"/>
      <c r="J11" s="437"/>
    </row>
    <row r="12" spans="2:13" ht="61.5" customHeight="1" x14ac:dyDescent="0.35">
      <c r="B12" s="754" t="s">
        <v>1072</v>
      </c>
      <c r="C12" s="755"/>
      <c r="D12" s="756"/>
      <c r="E12" s="466"/>
      <c r="F12" s="70"/>
      <c r="G12" s="466"/>
      <c r="H12" s="70"/>
      <c r="I12" s="466"/>
      <c r="J12" s="70"/>
    </row>
    <row r="13" spans="2:13" s="436" customFormat="1" ht="16.5" customHeight="1" x14ac:dyDescent="0.35">
      <c r="B13" s="768" t="s">
        <v>1115</v>
      </c>
      <c r="C13" s="769"/>
      <c r="D13" s="770"/>
      <c r="E13" s="467"/>
      <c r="F13" s="70"/>
      <c r="G13" s="467"/>
      <c r="H13" s="70"/>
      <c r="I13" s="467"/>
      <c r="J13" s="70"/>
    </row>
    <row r="14" spans="2:13" s="29" customFormat="1" ht="12" customHeight="1" x14ac:dyDescent="0.35">
      <c r="C14" s="460"/>
      <c r="D14" s="460"/>
      <c r="E14" s="462"/>
      <c r="F14" s="70"/>
      <c r="G14" s="462"/>
      <c r="H14" s="70"/>
      <c r="I14" s="462"/>
      <c r="J14" s="70"/>
    </row>
    <row r="15" spans="2:13" s="29" customFormat="1" ht="26.5" customHeight="1" x14ac:dyDescent="0.35">
      <c r="B15" s="483" t="s">
        <v>1035</v>
      </c>
      <c r="C15" s="484"/>
      <c r="D15" s="485"/>
      <c r="E15" s="470"/>
      <c r="F15" s="486" t="s">
        <v>1036</v>
      </c>
      <c r="G15" s="470"/>
      <c r="H15" s="486" t="s">
        <v>1037</v>
      </c>
      <c r="I15" s="470"/>
      <c r="J15" s="486" t="s">
        <v>1038</v>
      </c>
      <c r="K15" s="266"/>
    </row>
    <row r="16" spans="2:13" ht="93" customHeight="1" x14ac:dyDescent="0.35">
      <c r="B16" s="461" t="s">
        <v>1016</v>
      </c>
      <c r="C16" s="745"/>
      <c r="D16" s="745"/>
      <c r="E16" s="471"/>
      <c r="F16" s="459"/>
      <c r="G16" s="471"/>
      <c r="H16" s="459"/>
      <c r="I16" s="471"/>
      <c r="J16" s="459"/>
    </row>
    <row r="17" spans="2:13" ht="93" customHeight="1" x14ac:dyDescent="0.35">
      <c r="B17" s="461" t="s">
        <v>1017</v>
      </c>
      <c r="C17" s="745"/>
      <c r="D17" s="745"/>
      <c r="E17" s="471"/>
      <c r="F17" s="459"/>
      <c r="G17" s="471"/>
      <c r="H17" s="459"/>
      <c r="I17" s="471"/>
      <c r="J17" s="459"/>
    </row>
    <row r="18" spans="2:13" ht="93" customHeight="1" x14ac:dyDescent="0.35">
      <c r="B18" s="461" t="s">
        <v>1013</v>
      </c>
      <c r="C18" s="745"/>
      <c r="D18" s="745"/>
      <c r="E18" s="471"/>
      <c r="F18" s="459"/>
      <c r="G18" s="471"/>
      <c r="H18" s="459"/>
      <c r="I18" s="471"/>
      <c r="J18" s="459"/>
    </row>
    <row r="19" spans="2:13" s="128" customFormat="1" ht="12.65" customHeight="1" x14ac:dyDescent="0.35">
      <c r="B19" s="126"/>
      <c r="C19" s="127"/>
      <c r="D19" s="127"/>
      <c r="E19" s="468"/>
      <c r="F19" s="124"/>
      <c r="G19" s="468"/>
      <c r="H19" s="124"/>
      <c r="I19" s="468"/>
      <c r="J19" s="124"/>
    </row>
    <row r="20" spans="2:13" s="29" customFormat="1" ht="26.5" customHeight="1" x14ac:dyDescent="0.35">
      <c r="B20" s="483" t="s">
        <v>1042</v>
      </c>
      <c r="C20" s="484"/>
      <c r="D20" s="485"/>
      <c r="E20" s="470"/>
      <c r="F20" s="486" t="s">
        <v>1039</v>
      </c>
      <c r="G20" s="470"/>
      <c r="H20" s="486" t="s">
        <v>1040</v>
      </c>
      <c r="I20" s="470"/>
      <c r="J20" s="486" t="s">
        <v>1041</v>
      </c>
    </row>
    <row r="21" spans="2:13" ht="31.5" customHeight="1" x14ac:dyDescent="0.35">
      <c r="B21" s="773" t="s">
        <v>1053</v>
      </c>
      <c r="C21" s="773"/>
      <c r="D21" s="325"/>
      <c r="E21" s="472"/>
      <c r="F21" s="325"/>
      <c r="G21" s="472"/>
      <c r="H21" s="325"/>
      <c r="I21" s="472"/>
      <c r="J21" s="325"/>
      <c r="L21" t="s">
        <v>881</v>
      </c>
      <c r="M21" t="s">
        <v>880</v>
      </c>
    </row>
    <row r="22" spans="2:13" s="454" customFormat="1" ht="20.5" customHeight="1" x14ac:dyDescent="0.35">
      <c r="B22" s="753" t="s">
        <v>1032</v>
      </c>
      <c r="C22" s="753"/>
      <c r="D22" s="326"/>
      <c r="E22" s="473"/>
      <c r="F22" s="326"/>
      <c r="G22" s="473"/>
      <c r="H22" s="326"/>
      <c r="I22" s="473"/>
      <c r="J22" s="326"/>
      <c r="L22" s="92" t="s">
        <v>886</v>
      </c>
      <c r="M22" s="92" t="b">
        <v>0</v>
      </c>
    </row>
    <row r="23" spans="2:13" ht="20.5" customHeight="1" x14ac:dyDescent="0.35">
      <c r="B23" s="771" t="s">
        <v>1033</v>
      </c>
      <c r="C23" s="772"/>
      <c r="D23" s="327"/>
      <c r="E23" s="474"/>
      <c r="F23" s="327"/>
      <c r="G23" s="474"/>
      <c r="H23" s="327"/>
      <c r="I23" s="474"/>
      <c r="J23" s="327"/>
      <c r="L23" t="s">
        <v>882</v>
      </c>
      <c r="M23" t="b">
        <v>1</v>
      </c>
    </row>
    <row r="24" spans="2:13" s="454" customFormat="1" ht="20.5" customHeight="1" x14ac:dyDescent="0.35">
      <c r="B24" s="771" t="s">
        <v>1034</v>
      </c>
      <c r="C24" s="772"/>
      <c r="D24" s="301" t="str">
        <f>IF(OR(ISBLANK(D22),ISBLANK(D23)),"",D22*D23)</f>
        <v/>
      </c>
      <c r="E24" s="469"/>
      <c r="F24" s="301" t="str">
        <f>IF(OR(ISBLANK(F22),ISBLANK(F23)),"",F22*F23)</f>
        <v/>
      </c>
      <c r="G24" s="469"/>
      <c r="H24" s="301" t="str">
        <f>IF(OR(ISBLANK(H22),ISBLANK(H23)),"",H22*H23)</f>
        <v/>
      </c>
      <c r="I24" s="469"/>
      <c r="J24" s="301" t="str">
        <f>IF(OR(ISBLANK(J22),ISBLANK(J23)),"",J22*J23)</f>
        <v/>
      </c>
      <c r="L24" t="s">
        <v>883</v>
      </c>
      <c r="M24" t="b">
        <v>0</v>
      </c>
    </row>
    <row r="25" spans="2:13" ht="14" customHeight="1" x14ac:dyDescent="0.35">
      <c r="F25" s="70"/>
      <c r="H25" s="70"/>
      <c r="J25" s="70"/>
      <c r="L25" s="454"/>
      <c r="M25" s="454"/>
    </row>
    <row r="26" spans="2:13" s="29" customFormat="1" ht="26.5" customHeight="1" x14ac:dyDescent="0.35">
      <c r="B26" s="483" t="s">
        <v>1043</v>
      </c>
      <c r="C26" s="484"/>
      <c r="D26" s="485"/>
      <c r="E26" s="470"/>
      <c r="F26" s="486" t="s">
        <v>1039</v>
      </c>
      <c r="G26" s="470"/>
      <c r="H26" s="486" t="s">
        <v>1040</v>
      </c>
      <c r="I26" s="470"/>
      <c r="J26" s="486" t="s">
        <v>1041</v>
      </c>
      <c r="L26" s="454"/>
      <c r="M26" s="454"/>
    </row>
    <row r="27" spans="2:13" s="92" customFormat="1" ht="31.5" customHeight="1" x14ac:dyDescent="0.35">
      <c r="B27" s="753" t="s">
        <v>1031</v>
      </c>
      <c r="C27" s="753"/>
      <c r="D27" s="330"/>
      <c r="E27" s="472"/>
      <c r="F27" s="330"/>
      <c r="G27" s="472"/>
      <c r="H27" s="330"/>
      <c r="I27" s="472"/>
      <c r="J27" s="330"/>
      <c r="L27" s="454"/>
      <c r="M27" s="454"/>
    </row>
    <row r="28" spans="2:13" s="92" customFormat="1" ht="20.5" customHeight="1" x14ac:dyDescent="0.35">
      <c r="B28" s="753" t="s">
        <v>1046</v>
      </c>
      <c r="C28" s="753"/>
      <c r="D28" s="326"/>
      <c r="E28" s="473"/>
      <c r="F28" s="326"/>
      <c r="G28" s="473"/>
      <c r="H28" s="326"/>
      <c r="I28" s="473"/>
      <c r="J28" s="326"/>
      <c r="L28" s="128"/>
      <c r="M28" s="128"/>
    </row>
    <row r="29" spans="2:13" s="92" customFormat="1" ht="20.5" customHeight="1" x14ac:dyDescent="0.35">
      <c r="B29" s="753" t="s">
        <v>1044</v>
      </c>
      <c r="C29" s="753"/>
      <c r="D29" s="327"/>
      <c r="E29" s="474"/>
      <c r="F29" s="327"/>
      <c r="G29" s="474"/>
      <c r="H29" s="327"/>
      <c r="I29" s="474"/>
      <c r="J29" s="327"/>
      <c r="L29" s="29"/>
      <c r="M29" s="29"/>
    </row>
    <row r="30" spans="2:13" s="92" customFormat="1" ht="20.5" customHeight="1" x14ac:dyDescent="0.35">
      <c r="B30" s="753" t="s">
        <v>1045</v>
      </c>
      <c r="C30" s="753"/>
      <c r="D30" s="301" t="str">
        <f>IF(OR(ISBLANK(D28),ISBLANK(D29)),"",D28*D29)</f>
        <v/>
      </c>
      <c r="E30" s="469"/>
      <c r="F30" s="301" t="str">
        <f>IF(OR(ISBLANK(F28),ISBLANK(F29)),"",F28*F29)</f>
        <v/>
      </c>
      <c r="G30" s="469"/>
      <c r="H30" s="301" t="str">
        <f>IF(OR(ISBLANK(H28),ISBLANK(H29)),"",H28*H29)</f>
        <v/>
      </c>
      <c r="I30" s="469"/>
      <c r="J30" s="301" t="str">
        <f>IF(OR(ISBLANK(J28),ISBLANK(J29)),"",J28*J29)</f>
        <v/>
      </c>
      <c r="L30" t="s">
        <v>879</v>
      </c>
      <c r="M30"/>
    </row>
    <row r="31" spans="2:13" s="128" customFormat="1" ht="12.65" customHeight="1" x14ac:dyDescent="0.35">
      <c r="B31" s="126"/>
      <c r="C31" s="127"/>
      <c r="D31" s="127"/>
      <c r="E31" s="468"/>
      <c r="F31" s="124"/>
      <c r="G31" s="468"/>
      <c r="H31" s="124"/>
      <c r="I31" s="468"/>
      <c r="J31" s="124"/>
      <c r="L31" t="b">
        <f>IFERROR(VLOOKUP(D36,Table18[],2,FALSE),FALSE)</f>
        <v>0</v>
      </c>
      <c r="M31"/>
    </row>
    <row r="32" spans="2:13" s="29" customFormat="1" ht="26.5" customHeight="1" x14ac:dyDescent="0.35">
      <c r="B32" s="483" t="s">
        <v>1047</v>
      </c>
      <c r="C32" s="484"/>
      <c r="D32" s="485"/>
      <c r="E32" s="470"/>
      <c r="F32" s="486" t="s">
        <v>1039</v>
      </c>
      <c r="G32" s="470"/>
      <c r="H32" s="486" t="s">
        <v>1040</v>
      </c>
      <c r="I32" s="470"/>
      <c r="J32" s="486" t="s">
        <v>1041</v>
      </c>
      <c r="L32"/>
      <c r="M32"/>
    </row>
    <row r="33" spans="2:10" ht="20.149999999999999" customHeight="1" x14ac:dyDescent="0.35">
      <c r="B33" s="746" t="s">
        <v>599</v>
      </c>
      <c r="C33" s="746"/>
      <c r="D33" s="301" t="str">
        <f>IF(OR(ISBLANK(D22),ISBLANK(D28)),"",D22-D28)</f>
        <v/>
      </c>
      <c r="E33" s="475"/>
      <c r="F33" s="301" t="str">
        <f t="shared" ref="F33:J33" si="0">IF(OR(ISBLANK(F22),ISBLANK(F28)),"",F22-F28)</f>
        <v/>
      </c>
      <c r="G33" s="475"/>
      <c r="H33" s="301" t="str">
        <f t="shared" si="0"/>
        <v/>
      </c>
      <c r="I33" s="475"/>
      <c r="J33" s="301" t="str">
        <f t="shared" si="0"/>
        <v/>
      </c>
    </row>
    <row r="34" spans="2:10" ht="20.149999999999999" customHeight="1" x14ac:dyDescent="0.35">
      <c r="B34" s="750" t="s">
        <v>600</v>
      </c>
      <c r="C34" s="750"/>
      <c r="D34" s="301" t="str">
        <f>IFERROR(D24-D30,"")</f>
        <v/>
      </c>
      <c r="E34" s="475"/>
      <c r="F34" s="301" t="str">
        <f t="shared" ref="F34:J34" si="1">IFERROR(F24-F30,"")</f>
        <v/>
      </c>
      <c r="G34" s="475"/>
      <c r="H34" s="301" t="str">
        <f t="shared" si="1"/>
        <v/>
      </c>
      <c r="I34" s="475"/>
      <c r="J34" s="301" t="str">
        <f t="shared" si="1"/>
        <v/>
      </c>
    </row>
    <row r="35" spans="2:10" ht="31.5" customHeight="1" x14ac:dyDescent="0.35">
      <c r="B35" s="746" t="s">
        <v>602</v>
      </c>
      <c r="C35" s="746"/>
      <c r="D35" s="328"/>
      <c r="E35" s="476"/>
      <c r="F35" s="487" t="str">
        <f>IF(ISBLANK($D35),"",$D35)</f>
        <v/>
      </c>
      <c r="G35" s="476"/>
      <c r="H35" s="487" t="str">
        <f>IF(ISBLANK($D35),"",$D35)</f>
        <v/>
      </c>
      <c r="I35" s="476"/>
      <c r="J35" s="487" t="str">
        <f>IF(ISBLANK($D35),"",$D35)</f>
        <v/>
      </c>
    </row>
    <row r="36" spans="2:10" ht="20.149999999999999" customHeight="1" x14ac:dyDescent="0.35">
      <c r="B36" s="751" t="s">
        <v>885</v>
      </c>
      <c r="C36" s="752"/>
      <c r="D36" s="329" t="s">
        <v>886</v>
      </c>
      <c r="E36" s="477"/>
      <c r="F36" s="488" t="str">
        <f>IF($D36="Select from drop-down list","",$D36)</f>
        <v/>
      </c>
      <c r="G36" s="477"/>
      <c r="H36" s="488" t="str">
        <f>IF($D36="Select from drop-down list","",$D36)</f>
        <v/>
      </c>
      <c r="I36" s="477"/>
      <c r="J36" s="488" t="str">
        <f>IF($D36="Select from drop-down list","",$D36)</f>
        <v/>
      </c>
    </row>
    <row r="37" spans="2:10" ht="20.149999999999999" customHeight="1" x14ac:dyDescent="0.35">
      <c r="B37" s="746" t="s">
        <v>601</v>
      </c>
      <c r="C37" s="746"/>
      <c r="D37" s="297" t="str">
        <f>IFERROR(D34*D35,"")</f>
        <v/>
      </c>
      <c r="E37" s="478"/>
      <c r="F37" s="297" t="str">
        <f t="shared" ref="F37:J37" si="2">IFERROR(F34*F35,"")</f>
        <v/>
      </c>
      <c r="G37" s="478"/>
      <c r="H37" s="297" t="str">
        <f t="shared" si="2"/>
        <v/>
      </c>
      <c r="I37" s="478"/>
      <c r="J37" s="297" t="str">
        <f t="shared" si="2"/>
        <v/>
      </c>
    </row>
    <row r="38" spans="2:10" ht="20.149999999999999" customHeight="1" x14ac:dyDescent="0.35">
      <c r="B38" s="746" t="s">
        <v>606</v>
      </c>
      <c r="C38" s="746"/>
      <c r="D38" s="298" t="str">
        <f>IFERROR(IF(OR(isCustomPublic,isPublic,isDS2),pubElec,privElec)*MIN(D34,kLimit)+kAlt*MAX(0,D34-kLimit),"")</f>
        <v/>
      </c>
      <c r="E38" s="478"/>
      <c r="F38" s="298" t="str">
        <f>IFERROR(IF(OR(isCustomPublic,isPublic,isDS2),pubElec,privElec)*MIN(F34,kLimit)+kAlt*MAX(0,F34-kLimit),"")</f>
        <v/>
      </c>
      <c r="G38" s="478"/>
      <c r="H38" s="298" t="str">
        <f>IFERROR(IF(OR(isCustomPublic,isPublic,isDS2),pubElec,privElec)*MIN(H34,kLimit)+kAlt*MAX(0,H34-kLimit),"")</f>
        <v/>
      </c>
      <c r="I38" s="478"/>
      <c r="J38" s="298" t="str">
        <f>IFERROR(IF(OR(isCustomPublic,isPublic,isDS2),pubElec,privElec)*MIN(J34,kLimit)+kAlt*MAX(0,J34-kLimit),"")</f>
        <v/>
      </c>
    </row>
    <row r="39" spans="2:10" ht="20.149999999999999" customHeight="1" x14ac:dyDescent="0.35">
      <c r="B39" s="746" t="s">
        <v>603</v>
      </c>
      <c r="C39" s="746"/>
      <c r="D39" s="328"/>
      <c r="E39" s="476"/>
      <c r="F39" s="328"/>
      <c r="G39" s="476"/>
      <c r="H39" s="328"/>
      <c r="I39" s="476"/>
      <c r="J39" s="328"/>
    </row>
    <row r="40" spans="2:10" ht="20.149999999999999" customHeight="1" x14ac:dyDescent="0.35">
      <c r="B40" s="746" t="s">
        <v>607</v>
      </c>
      <c r="C40" s="746"/>
      <c r="D40" s="328"/>
      <c r="E40" s="476"/>
      <c r="F40" s="328"/>
      <c r="G40" s="476"/>
      <c r="H40" s="328"/>
      <c r="I40" s="476"/>
      <c r="J40" s="328"/>
    </row>
    <row r="41" spans="2:10" ht="20.149999999999999" customHeight="1" x14ac:dyDescent="0.35">
      <c r="B41" s="746" t="s">
        <v>605</v>
      </c>
      <c r="C41" s="746"/>
      <c r="D41" s="295" t="str">
        <f>IF((D39+D40)=0,"",D39+D40)</f>
        <v/>
      </c>
      <c r="E41" s="479"/>
      <c r="F41" s="295" t="str">
        <f t="shared" ref="F41:J41" si="3">IF((F39+F40)=0,"",F39+F40)</f>
        <v/>
      </c>
      <c r="G41" s="479"/>
      <c r="H41" s="295" t="str">
        <f t="shared" si="3"/>
        <v/>
      </c>
      <c r="I41" s="479"/>
      <c r="J41" s="295" t="str">
        <f t="shared" si="3"/>
        <v/>
      </c>
    </row>
    <row r="42" spans="2:10" ht="20.149999999999999" customHeight="1" x14ac:dyDescent="0.35">
      <c r="B42" s="746" t="s">
        <v>1116</v>
      </c>
      <c r="C42" s="747"/>
      <c r="D42" s="300" t="str">
        <f>IFERROR(D41/D37,"")</f>
        <v/>
      </c>
      <c r="E42" s="480"/>
      <c r="F42" s="300" t="str">
        <f t="shared" ref="F42:J42" si="4">IFERROR(F41/F37,"")</f>
        <v/>
      </c>
      <c r="G42" s="480"/>
      <c r="H42" s="300" t="str">
        <f t="shared" si="4"/>
        <v/>
      </c>
      <c r="I42" s="480"/>
      <c r="J42" s="300" t="str">
        <f t="shared" si="4"/>
        <v/>
      </c>
    </row>
    <row r="43" spans="2:10" ht="20.149999999999999" customHeight="1" x14ac:dyDescent="0.35">
      <c r="B43" s="746" t="s">
        <v>1117</v>
      </c>
      <c r="C43" s="747"/>
      <c r="D43" s="300" t="str">
        <f>IFERROR((D41-D38)/D37,"")</f>
        <v/>
      </c>
      <c r="E43" s="480"/>
      <c r="F43" s="300" t="str">
        <f t="shared" ref="F43:J43" si="5">IFERROR((F41-F38)/F37,"")</f>
        <v/>
      </c>
      <c r="G43" s="480"/>
      <c r="H43" s="300" t="str">
        <f t="shared" si="5"/>
        <v/>
      </c>
      <c r="I43" s="480"/>
      <c r="J43" s="300" t="str">
        <f t="shared" si="5"/>
        <v/>
      </c>
    </row>
    <row r="44" spans="2:10" ht="20.149999999999999" customHeight="1" x14ac:dyDescent="0.35">
      <c r="B44" s="746" t="s">
        <v>981</v>
      </c>
      <c r="C44" s="747"/>
      <c r="D44" s="296" t="str">
        <f>IFERROR(D38/D41,"")</f>
        <v/>
      </c>
      <c r="E44" s="481"/>
      <c r="F44" s="296" t="str">
        <f t="shared" ref="F44:J44" si="6">IFERROR(F38/F41,"")</f>
        <v/>
      </c>
      <c r="G44" s="481"/>
      <c r="H44" s="296" t="str">
        <f t="shared" si="6"/>
        <v/>
      </c>
      <c r="I44" s="481"/>
      <c r="J44" s="296" t="str">
        <f t="shared" si="6"/>
        <v/>
      </c>
    </row>
    <row r="45" spans="2:10" ht="20.149999999999999" customHeight="1" x14ac:dyDescent="0.35">
      <c r="B45" s="748" t="s">
        <v>887</v>
      </c>
      <c r="C45" s="749"/>
      <c r="D45" s="299">
        <f>IFERROR(MAX(MIN(D38,0.8*(D41),D41-D37*0.083),0),0)</f>
        <v>0</v>
      </c>
      <c r="E45" s="482"/>
      <c r="F45" s="299">
        <f>IFERROR(MAX(MIN(F38,0.8*(F41),F41-F37*0.5),0),0)</f>
        <v>0</v>
      </c>
      <c r="G45" s="482"/>
      <c r="H45" s="299">
        <f>IFERROR(MAX(MIN(H38,0.8*(H41),H41-H37*0.5),0),0)</f>
        <v>0</v>
      </c>
      <c r="I45" s="482"/>
      <c r="J45" s="299">
        <f>IFERROR(MAX(MIN(J38,0.8*(J41),J41-J37*0.5),0),0)</f>
        <v>0</v>
      </c>
    </row>
    <row r="46" spans="2:10" ht="20.149999999999999" customHeight="1" x14ac:dyDescent="0.35">
      <c r="D46" s="496" t="str">
        <f>IFERROR(IF(D42="","",IF(OR(D42&lt;0.083,D42&gt;12),"Does Not Meet Payback Requirement", IF(D38&gt;0.8*(D41),"Capped at 80% of Cost",IF(D38&gt;(D41-D37*0.083),"Capped at 1 Month Payback","")))),"")</f>
        <v/>
      </c>
      <c r="F46" s="496" t="str">
        <f>IFERROR(IF(F42="","",IF(OR(F42&lt;0.5,F42&gt;10),"Does Not Meet Payback Requirement", IF(F38&gt;0.8*(F41),"Capped at 80% of Cost",IF(F38&gt;(F41-F37*0.5),"Capped at 6 Months Payback","")))),"")</f>
        <v/>
      </c>
      <c r="H46" s="496" t="str">
        <f>IFERROR(IF(H42="","",IF(OR(H42&lt;0.5,H42&gt;10),"Does Not Meet Payback Requirement", IF(H38&gt;0.8*(H41),"Capped at 80% of Cost",IF(H38&gt;(H41-H37*0.5),"Capped at 6 Months Payback","")))),"")</f>
        <v/>
      </c>
      <c r="J46" s="496" t="str">
        <f>IFERROR(IF(J42="","",IF(OR(J42&lt;0.5,J42&gt;10),"Does Not Meet Payback Requirement", IF(J38&gt;0.8*(J41),"Capped at 80% of Cost",IF(J38&gt;(J41-J37*0.5),"Capped at 6 Months Payback","")))),"")</f>
        <v/>
      </c>
    </row>
  </sheetData>
  <sheetProtection selectLockedCells="1"/>
  <mergeCells count="29">
    <mergeCell ref="B29:C29"/>
    <mergeCell ref="C17:D17"/>
    <mergeCell ref="C18:D18"/>
    <mergeCell ref="B23:C23"/>
    <mergeCell ref="B24:C24"/>
    <mergeCell ref="B21:C21"/>
    <mergeCell ref="B27:C27"/>
    <mergeCell ref="B22:C22"/>
    <mergeCell ref="B2:D2"/>
    <mergeCell ref="B12:D12"/>
    <mergeCell ref="B11:D11"/>
    <mergeCell ref="B3:D9"/>
    <mergeCell ref="B13:D13"/>
    <mergeCell ref="C16:D16"/>
    <mergeCell ref="B42:C42"/>
    <mergeCell ref="B43:C43"/>
    <mergeCell ref="B44:C44"/>
    <mergeCell ref="B45:C45"/>
    <mergeCell ref="B33:C33"/>
    <mergeCell ref="B34:C34"/>
    <mergeCell ref="B35:C35"/>
    <mergeCell ref="B37:C37"/>
    <mergeCell ref="B38:C38"/>
    <mergeCell ref="B39:C39"/>
    <mergeCell ref="B36:C36"/>
    <mergeCell ref="B40:C40"/>
    <mergeCell ref="B41:C41"/>
    <mergeCell ref="B30:C30"/>
    <mergeCell ref="B28:C28"/>
  </mergeCells>
  <dataValidations count="1">
    <dataValidation type="list" allowBlank="1" showInputMessage="1" showErrorMessage="1" error="Please select from the drop-down list. (click on the cell, then click on the downward triangle to the right of the cell)" sqref="D36:J36" xr:uid="{00000000-0002-0000-0B00-000000000000}">
      <formula1>$L$22:$L$24</formula1>
    </dataValidation>
  </dataValidations>
  <hyperlinks>
    <hyperlink ref="B13:D13" r:id="rId1" display="http://www.amerenillinoissavings.com/wp-content/uploads/2023/05/Custom-HVAC-Calculator-2023-1.xlsx" xr:uid="{00000000-0004-0000-0B00-000000000000}"/>
  </hyperlinks>
  <pageMargins left="0.7" right="0.7" top="0.75" bottom="0.75" header="0.3" footer="0.3"/>
  <pageSetup orientation="portrait" horizontalDpi="1200" verticalDpi="1200" r:id="rId2"/>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B2:P47"/>
  <sheetViews>
    <sheetView showGridLines="0" showRowColHeaders="0" zoomScale="90" zoomScaleNormal="90" workbookViewId="0">
      <pane ySplit="2" topLeftCell="A3" activePane="bottomLeft" state="frozen"/>
      <selection activeCell="M35" sqref="M35"/>
      <selection pane="bottomLeft" activeCell="B2" sqref="B2:D2"/>
    </sheetView>
  </sheetViews>
  <sheetFormatPr defaultRowHeight="14.5" outlineLevelCol="1" x14ac:dyDescent="0.35"/>
  <cols>
    <col min="1" max="1" width="7" customWidth="1"/>
    <col min="2" max="2" width="53" style="86" customWidth="1"/>
    <col min="3" max="3" width="24.7265625" customWidth="1"/>
    <col min="4" max="4" width="30.81640625" customWidth="1"/>
    <col min="5" max="5" width="1.81640625" style="454" hidden="1" customWidth="1" outlineLevel="1"/>
    <col min="6" max="6" width="32.453125" style="454" hidden="1" customWidth="1" outlineLevel="1"/>
    <col min="7" max="7" width="1.81640625" style="454" hidden="1" customWidth="1" outlineLevel="1"/>
    <col min="8" max="8" width="32.453125" style="454" hidden="1" customWidth="1" outlineLevel="1"/>
    <col min="9" max="9" width="1.81640625" style="454" hidden="1" customWidth="1" outlineLevel="1"/>
    <col min="10" max="10" width="32.453125" style="454" hidden="1" customWidth="1" outlineLevel="1"/>
    <col min="11" max="11" width="8.7265625" collapsed="1"/>
    <col min="12" max="12" width="19.453125" hidden="1" customWidth="1"/>
    <col min="13" max="13" width="0" hidden="1" customWidth="1"/>
    <col min="16" max="16" width="11.36328125" customWidth="1"/>
  </cols>
  <sheetData>
    <row r="2" spans="2:15" ht="21" x14ac:dyDescent="0.35">
      <c r="B2" s="741" t="s">
        <v>916</v>
      </c>
      <c r="C2" s="742"/>
      <c r="D2" s="743"/>
      <c r="K2" s="489" t="s">
        <v>1056</v>
      </c>
    </row>
    <row r="3" spans="2:15" ht="34.5" customHeight="1" x14ac:dyDescent="0.35">
      <c r="B3" s="616" t="s">
        <v>1119</v>
      </c>
      <c r="C3" s="617"/>
      <c r="D3" s="618"/>
    </row>
    <row r="4" spans="2:15" ht="34.5" customHeight="1" x14ac:dyDescent="0.35">
      <c r="B4" s="619"/>
      <c r="C4" s="535"/>
      <c r="D4" s="620"/>
    </row>
    <row r="5" spans="2:15" ht="34.5" customHeight="1" x14ac:dyDescent="0.35">
      <c r="B5" s="619"/>
      <c r="C5" s="535"/>
      <c r="D5" s="620"/>
    </row>
    <row r="6" spans="2:15" ht="34.5" customHeight="1" x14ac:dyDescent="0.35">
      <c r="B6" s="619"/>
      <c r="C6" s="535"/>
      <c r="D6" s="620"/>
    </row>
    <row r="7" spans="2:15" ht="34.5" customHeight="1" x14ac:dyDescent="0.35">
      <c r="B7" s="619"/>
      <c r="C7" s="535"/>
      <c r="D7" s="620"/>
    </row>
    <row r="8" spans="2:15" ht="34.5" customHeight="1" x14ac:dyDescent="0.35">
      <c r="B8" s="619"/>
      <c r="C8" s="535"/>
      <c r="D8" s="620"/>
    </row>
    <row r="9" spans="2:15" ht="34.5" customHeight="1" x14ac:dyDescent="0.35">
      <c r="B9" s="621"/>
      <c r="C9" s="622"/>
      <c r="D9" s="623"/>
      <c r="O9" s="16"/>
    </row>
    <row r="10" spans="2:15" ht="8.15" customHeight="1" x14ac:dyDescent="0.35"/>
    <row r="11" spans="2:15" ht="18.649999999999999" customHeight="1" x14ac:dyDescent="0.35">
      <c r="B11" s="689" t="s">
        <v>918</v>
      </c>
      <c r="C11" s="757"/>
      <c r="D11" s="758"/>
      <c r="E11" s="70"/>
      <c r="F11" s="70"/>
      <c r="G11" s="70"/>
      <c r="H11" s="70"/>
      <c r="I11" s="70"/>
      <c r="J11" s="70"/>
      <c r="K11" s="70"/>
    </row>
    <row r="12" spans="2:15" ht="61.5" customHeight="1" x14ac:dyDescent="0.35">
      <c r="B12" s="754" t="s">
        <v>1024</v>
      </c>
      <c r="C12" s="755"/>
      <c r="D12" s="756"/>
      <c r="E12" s="70"/>
      <c r="F12" s="70"/>
      <c r="G12" s="70"/>
      <c r="H12" s="70"/>
      <c r="I12" s="70"/>
      <c r="J12" s="70"/>
      <c r="K12" s="70"/>
    </row>
    <row r="13" spans="2:15" s="436" customFormat="1" ht="15.75" customHeight="1" x14ac:dyDescent="0.35">
      <c r="B13" s="768" t="s">
        <v>1115</v>
      </c>
      <c r="C13" s="769"/>
      <c r="D13" s="770"/>
      <c r="E13" s="70"/>
      <c r="F13" s="70"/>
      <c r="G13" s="70"/>
      <c r="H13" s="70"/>
      <c r="I13" s="70"/>
      <c r="J13" s="70"/>
      <c r="K13" s="70"/>
    </row>
    <row r="14" spans="2:15" s="128" customFormat="1" ht="12.5" customHeight="1" x14ac:dyDescent="0.35">
      <c r="B14" s="126"/>
      <c r="C14" s="127"/>
      <c r="D14" s="127"/>
      <c r="E14" s="124"/>
      <c r="F14" s="124"/>
      <c r="G14" s="124"/>
      <c r="H14" s="124"/>
      <c r="I14" s="124"/>
      <c r="J14" s="124"/>
      <c r="K14" s="124"/>
    </row>
    <row r="15" spans="2:15" s="29" customFormat="1" ht="26.5" customHeight="1" x14ac:dyDescent="0.35">
      <c r="B15" s="483" t="s">
        <v>1035</v>
      </c>
      <c r="C15" s="484"/>
      <c r="D15" s="485"/>
      <c r="E15" s="470"/>
      <c r="F15" s="486" t="s">
        <v>1048</v>
      </c>
      <c r="G15" s="470"/>
      <c r="H15" s="486" t="s">
        <v>1049</v>
      </c>
      <c r="I15" s="470"/>
      <c r="J15" s="486" t="s">
        <v>1050</v>
      </c>
    </row>
    <row r="16" spans="2:15" s="454" customFormat="1" ht="93" customHeight="1" x14ac:dyDescent="0.35">
      <c r="B16" s="461" t="s">
        <v>1015</v>
      </c>
      <c r="C16" s="745"/>
      <c r="D16" s="745"/>
      <c r="E16" s="471"/>
      <c r="F16" s="459"/>
      <c r="G16" s="471"/>
      <c r="H16" s="459"/>
      <c r="I16" s="471"/>
      <c r="J16" s="459"/>
    </row>
    <row r="17" spans="2:16" s="454" customFormat="1" ht="93" customHeight="1" x14ac:dyDescent="0.35">
      <c r="B17" s="461" t="s">
        <v>1014</v>
      </c>
      <c r="C17" s="745"/>
      <c r="D17" s="745"/>
      <c r="E17" s="471"/>
      <c r="F17" s="459"/>
      <c r="G17" s="471"/>
      <c r="H17" s="459"/>
      <c r="I17" s="471"/>
      <c r="J17" s="459"/>
      <c r="N17" s="431"/>
    </row>
    <row r="18" spans="2:16" s="454" customFormat="1" ht="93" customHeight="1" x14ac:dyDescent="0.35">
      <c r="B18" s="461" t="s">
        <v>1013</v>
      </c>
      <c r="C18" s="745"/>
      <c r="D18" s="745"/>
      <c r="E18" s="471"/>
      <c r="F18" s="459"/>
      <c r="G18" s="471"/>
      <c r="H18" s="459"/>
      <c r="I18" s="471"/>
      <c r="J18" s="459"/>
    </row>
    <row r="19" spans="2:16" s="128" customFormat="1" ht="12.5" customHeight="1" x14ac:dyDescent="0.35">
      <c r="B19" s="126"/>
      <c r="C19" s="127"/>
      <c r="D19" s="127"/>
      <c r="E19" s="124"/>
      <c r="F19" s="124"/>
      <c r="G19" s="124"/>
      <c r="H19" s="124"/>
      <c r="I19" s="124"/>
      <c r="J19" s="124"/>
      <c r="K19" s="124"/>
    </row>
    <row r="20" spans="2:16" s="29" customFormat="1" ht="26.5" customHeight="1" x14ac:dyDescent="0.35">
      <c r="B20" s="483" t="s">
        <v>1042</v>
      </c>
      <c r="C20" s="484"/>
      <c r="D20" s="485"/>
      <c r="E20" s="470"/>
      <c r="F20" s="486" t="s">
        <v>1039</v>
      </c>
      <c r="G20" s="470"/>
      <c r="H20" s="486" t="s">
        <v>1040</v>
      </c>
      <c r="I20" s="470"/>
      <c r="J20" s="486" t="s">
        <v>1041</v>
      </c>
    </row>
    <row r="21" spans="2:16" ht="31" customHeight="1" x14ac:dyDescent="0.35">
      <c r="B21" s="753" t="s">
        <v>1054</v>
      </c>
      <c r="C21" s="753"/>
      <c r="D21" s="330"/>
      <c r="E21" s="70"/>
      <c r="F21" s="330"/>
      <c r="G21" s="70"/>
      <c r="H21" s="330"/>
      <c r="I21" s="70"/>
      <c r="J21" s="330"/>
      <c r="K21" s="70"/>
      <c r="L21" t="s">
        <v>881</v>
      </c>
      <c r="M21" t="s">
        <v>880</v>
      </c>
    </row>
    <row r="22" spans="2:16" ht="20.5" customHeight="1" x14ac:dyDescent="0.35">
      <c r="B22" s="753" t="s">
        <v>1052</v>
      </c>
      <c r="C22" s="753"/>
      <c r="D22" s="326"/>
      <c r="E22" s="70"/>
      <c r="F22" s="326"/>
      <c r="G22" s="70"/>
      <c r="H22" s="326"/>
      <c r="I22" s="70"/>
      <c r="J22" s="326"/>
      <c r="K22" s="70"/>
      <c r="L22" s="92" t="s">
        <v>886</v>
      </c>
      <c r="M22" s="92" t="b">
        <v>0</v>
      </c>
    </row>
    <row r="23" spans="2:16" ht="20.5" customHeight="1" x14ac:dyDescent="0.35">
      <c r="B23" s="753" t="s">
        <v>1033</v>
      </c>
      <c r="C23" s="753"/>
      <c r="D23" s="327"/>
      <c r="E23" s="70"/>
      <c r="F23" s="327"/>
      <c r="G23" s="70"/>
      <c r="H23" s="327"/>
      <c r="I23" s="70"/>
      <c r="J23" s="327"/>
      <c r="K23" s="70"/>
      <c r="L23" t="s">
        <v>889</v>
      </c>
      <c r="M23" t="b">
        <v>1</v>
      </c>
    </row>
    <row r="24" spans="2:16" s="92" customFormat="1" ht="20.5" customHeight="1" x14ac:dyDescent="0.35">
      <c r="B24" s="753" t="s">
        <v>1051</v>
      </c>
      <c r="C24" s="753"/>
      <c r="D24" s="301" t="str">
        <f>IF(OR(ISBLANK(D22),ISBLANK(D23)),"",D22*D23)</f>
        <v/>
      </c>
      <c r="E24" s="124"/>
      <c r="F24" s="301" t="str">
        <f>IF(OR(ISBLANK(F22),ISBLANK(F23)),"",F22*F23)</f>
        <v/>
      </c>
      <c r="G24" s="124"/>
      <c r="H24" s="301" t="str">
        <f>IF(OR(ISBLANK(H22),ISBLANK(H23)),"",H22*H23)</f>
        <v/>
      </c>
      <c r="I24" s="124"/>
      <c r="J24" s="301" t="str">
        <f>IF(OR(ISBLANK(J22),ISBLANK(J23)),"",J22*J23)</f>
        <v/>
      </c>
      <c r="K24" s="124"/>
      <c r="L24" t="s">
        <v>890</v>
      </c>
      <c r="M24" t="b">
        <v>0</v>
      </c>
    </row>
    <row r="25" spans="2:16" s="92" customFormat="1" ht="20.149999999999999" customHeight="1" x14ac:dyDescent="0.35">
      <c r="B25" s="126"/>
      <c r="C25" s="458"/>
      <c r="D25" s="458"/>
      <c r="E25" s="124"/>
      <c r="F25" s="124"/>
      <c r="G25" s="124"/>
      <c r="H25" s="124"/>
      <c r="I25" s="124"/>
      <c r="J25" s="124"/>
      <c r="K25" s="124"/>
      <c r="L25" s="454"/>
      <c r="M25" s="454"/>
    </row>
    <row r="26" spans="2:16" s="29" customFormat="1" ht="26.5" customHeight="1" x14ac:dyDescent="0.35">
      <c r="B26" s="483" t="s">
        <v>1043</v>
      </c>
      <c r="C26" s="484"/>
      <c r="D26" s="485"/>
      <c r="E26" s="470"/>
      <c r="F26" s="486" t="s">
        <v>1039</v>
      </c>
      <c r="G26" s="470"/>
      <c r="H26" s="486" t="s">
        <v>1040</v>
      </c>
      <c r="I26" s="470"/>
      <c r="J26" s="486" t="s">
        <v>1041</v>
      </c>
      <c r="L26" s="454"/>
      <c r="M26" s="454"/>
    </row>
    <row r="27" spans="2:16" s="92" customFormat="1" ht="31" customHeight="1" x14ac:dyDescent="0.35">
      <c r="B27" s="753" t="s">
        <v>1061</v>
      </c>
      <c r="C27" s="753"/>
      <c r="D27" s="330"/>
      <c r="E27" s="124"/>
      <c r="F27" s="330"/>
      <c r="G27" s="124"/>
      <c r="H27" s="330"/>
      <c r="I27" s="124"/>
      <c r="J27" s="330"/>
      <c r="K27" s="124"/>
      <c r="L27" s="454"/>
      <c r="M27" s="454"/>
    </row>
    <row r="28" spans="2:16" s="92" customFormat="1" ht="20.5" customHeight="1" x14ac:dyDescent="0.35">
      <c r="B28" s="753" t="s">
        <v>1062</v>
      </c>
      <c r="C28" s="753"/>
      <c r="D28" s="326"/>
      <c r="E28" s="124"/>
      <c r="F28" s="326"/>
      <c r="G28" s="124"/>
      <c r="H28" s="326"/>
      <c r="I28" s="124"/>
      <c r="J28" s="326"/>
      <c r="K28" s="124"/>
      <c r="L28" s="454"/>
      <c r="M28" s="454"/>
    </row>
    <row r="29" spans="2:16" s="92" customFormat="1" ht="20.5" customHeight="1" x14ac:dyDescent="0.35">
      <c r="B29" s="753" t="s">
        <v>1044</v>
      </c>
      <c r="C29" s="753"/>
      <c r="D29" s="327"/>
      <c r="E29" s="124"/>
      <c r="F29" s="327"/>
      <c r="G29" s="124"/>
      <c r="H29" s="327"/>
      <c r="I29" s="124"/>
      <c r="J29" s="327"/>
      <c r="K29" s="124"/>
      <c r="L29" s="454"/>
      <c r="M29" s="454"/>
    </row>
    <row r="30" spans="2:16" s="92" customFormat="1" ht="20.5" customHeight="1" x14ac:dyDescent="0.35">
      <c r="B30" s="753" t="s">
        <v>1063</v>
      </c>
      <c r="C30" s="753"/>
      <c r="D30" s="301" t="str">
        <f>IF(OR(ISBLANK(D28),ISBLANK(D29)),"",D28*D29)</f>
        <v/>
      </c>
      <c r="E30" s="124"/>
      <c r="F30" s="301" t="str">
        <f>IF(OR(ISBLANK(F28),ISBLANK(F29)),"",F28*F29)</f>
        <v/>
      </c>
      <c r="G30" s="124"/>
      <c r="H30" s="301" t="str">
        <f>IF(OR(ISBLANK(H28),ISBLANK(H29)),"",H28*H29)</f>
        <v/>
      </c>
      <c r="I30" s="124"/>
      <c r="J30" s="301" t="str">
        <f>IF(OR(ISBLANK(J28),ISBLANK(J29)),"",J28*J29)</f>
        <v/>
      </c>
      <c r="K30" s="124"/>
      <c r="L30" s="454"/>
      <c r="M30" s="454"/>
    </row>
    <row r="31" spans="2:16" s="92" customFormat="1" ht="20.149999999999999" customHeight="1" x14ac:dyDescent="0.35">
      <c r="B31" s="126"/>
      <c r="C31" s="458"/>
      <c r="D31" s="458"/>
      <c r="E31" s="124"/>
      <c r="F31" s="124"/>
      <c r="G31" s="124"/>
      <c r="H31" s="124"/>
      <c r="I31" s="124"/>
      <c r="J31" s="124"/>
      <c r="K31" s="124"/>
      <c r="L31" s="454"/>
      <c r="M31" s="454"/>
    </row>
    <row r="32" spans="2:16" s="29" customFormat="1" ht="26.5" customHeight="1" x14ac:dyDescent="0.35">
      <c r="B32" s="483" t="s">
        <v>1047</v>
      </c>
      <c r="C32" s="484"/>
      <c r="D32" s="485"/>
      <c r="E32" s="470"/>
      <c r="F32" s="486" t="s">
        <v>1039</v>
      </c>
      <c r="G32" s="470"/>
      <c r="H32" s="486" t="s">
        <v>1040</v>
      </c>
      <c r="I32" s="470"/>
      <c r="J32" s="486" t="s">
        <v>1041</v>
      </c>
      <c r="L32" s="454"/>
      <c r="M32" s="454"/>
      <c r="P32" s="508"/>
    </row>
    <row r="33" spans="2:12" ht="20.149999999999999" customHeight="1" x14ac:dyDescent="0.35">
      <c r="B33" s="746" t="s">
        <v>608</v>
      </c>
      <c r="C33" s="746"/>
      <c r="D33" s="301" t="str">
        <f>IF(OR(ISBLANK(D22),ISBLANK(D28)),"",D22-D28)</f>
        <v/>
      </c>
      <c r="E33" s="70"/>
      <c r="F33" s="301" t="str">
        <f>IF(OR(ISBLANK(F22),ISBLANK(F28)),"",F22-F28)</f>
        <v/>
      </c>
      <c r="G33" s="70"/>
      <c r="H33" s="301" t="str">
        <f>IF(OR(ISBLANK(H22),ISBLANK(H28)),"",H22-H28)</f>
        <v/>
      </c>
      <c r="I33" s="70"/>
      <c r="J33" s="301" t="str">
        <f>IF(OR(ISBLANK(J22),ISBLANK(J28)),"",J22-J28)</f>
        <v/>
      </c>
      <c r="K33" s="70"/>
      <c r="L33" t="s">
        <v>891</v>
      </c>
    </row>
    <row r="34" spans="2:12" ht="20.149999999999999" customHeight="1" x14ac:dyDescent="0.35">
      <c r="B34" s="750" t="s">
        <v>609</v>
      </c>
      <c r="C34" s="750"/>
      <c r="D34" s="301" t="str">
        <f>IFERROR(D24-D30,"")</f>
        <v/>
      </c>
      <c r="E34" s="70"/>
      <c r="F34" s="301" t="str">
        <f>IFERROR(F24-F30,"")</f>
        <v/>
      </c>
      <c r="G34" s="70"/>
      <c r="H34" s="301" t="str">
        <f>IFERROR(H24-H30,"")</f>
        <v/>
      </c>
      <c r="I34" s="70"/>
      <c r="J34" s="301" t="str">
        <f>IFERROR(J24-J30,"")</f>
        <v/>
      </c>
      <c r="K34" s="70"/>
      <c r="L34" t="b">
        <f>IFERROR(VLOOKUP(D36,Table1823[],2,FALSE),FALSE)</f>
        <v>0</v>
      </c>
    </row>
    <row r="35" spans="2:12" ht="20.149999999999999" customHeight="1" x14ac:dyDescent="0.35">
      <c r="B35" s="746" t="s">
        <v>610</v>
      </c>
      <c r="C35" s="746"/>
      <c r="D35" s="328"/>
      <c r="E35" s="70"/>
      <c r="F35" s="487" t="str">
        <f>IF(ISBLANK($D35),"",$D35)</f>
        <v/>
      </c>
      <c r="G35" s="476"/>
      <c r="H35" s="487" t="str">
        <f>IF(ISBLANK($D35),"",$D35)</f>
        <v/>
      </c>
      <c r="I35" s="476"/>
      <c r="J35" s="487" t="str">
        <f>IF(ISBLANK($D35),"",$D35)</f>
        <v/>
      </c>
      <c r="K35" s="70"/>
    </row>
    <row r="36" spans="2:12" ht="20.149999999999999" customHeight="1" x14ac:dyDescent="0.35">
      <c r="B36" s="751" t="s">
        <v>888</v>
      </c>
      <c r="C36" s="752"/>
      <c r="D36" s="329" t="s">
        <v>886</v>
      </c>
      <c r="E36" s="70"/>
      <c r="F36" s="488" t="str">
        <f>IF($D36="Select from drop-down list","",$D36)</f>
        <v/>
      </c>
      <c r="G36" s="477"/>
      <c r="H36" s="488" t="str">
        <f>IF($D36="Select from drop-down list","",$D36)</f>
        <v/>
      </c>
      <c r="I36" s="477"/>
      <c r="J36" s="488" t="str">
        <f>IF($D36="Select from drop-down list","",$D36)</f>
        <v/>
      </c>
      <c r="K36" s="70"/>
    </row>
    <row r="37" spans="2:12" ht="20.149999999999999" customHeight="1" x14ac:dyDescent="0.35">
      <c r="B37" s="746" t="s">
        <v>611</v>
      </c>
      <c r="C37" s="746"/>
      <c r="D37" s="297" t="str">
        <f>IFERROR(D34*D35,"")</f>
        <v/>
      </c>
      <c r="E37" s="70"/>
      <c r="F37" s="297" t="str">
        <f>IFERROR(F34*F35,"")</f>
        <v/>
      </c>
      <c r="G37" s="70"/>
      <c r="H37" s="297" t="str">
        <f>IFERROR(H34*H35,"")</f>
        <v/>
      </c>
      <c r="I37" s="70"/>
      <c r="J37" s="297" t="str">
        <f>IFERROR(J34*J35,"")</f>
        <v/>
      </c>
      <c r="K37" s="70"/>
    </row>
    <row r="38" spans="2:12" ht="20.149999999999999" customHeight="1" x14ac:dyDescent="0.35">
      <c r="B38" s="746" t="s">
        <v>606</v>
      </c>
      <c r="C38" s="746"/>
      <c r="D38" s="298" t="str">
        <f>IFERROR(IF(OR(isCustomPublic,isPublic,isGS2),pubGas,privGas)*MIN(D34,tLimit)+tAlt*MAX(0,D34-tLimit),"")</f>
        <v/>
      </c>
      <c r="E38" s="70"/>
      <c r="F38" s="298" t="str">
        <f>IFERROR(IF(OR(isCustomPublic,isPublic,isGS2),pubGas,privGas)*MIN(F34,tLimit)+tAlt*MAX(0,F34-tLimit),"")</f>
        <v/>
      </c>
      <c r="G38" s="70"/>
      <c r="H38" s="298" t="str">
        <f>IFERROR(IF(OR(isCustomPublic,isPublic,isGS2),pubGas,privGas)*MIN(H34,tLimit)+tAlt*MAX(0,H34-tLimit),"")</f>
        <v/>
      </c>
      <c r="I38" s="70"/>
      <c r="J38" s="298" t="str">
        <f>IFERROR(IF(OR(isCustomPublic,isPublic,isGS2),pubGas,privGas)*MIN(J34,tLimit)+tAlt*MAX(0,J34-tLimit),"")</f>
        <v/>
      </c>
      <c r="K38" s="70"/>
    </row>
    <row r="39" spans="2:12" ht="20.149999999999999" customHeight="1" x14ac:dyDescent="0.35">
      <c r="B39" s="746" t="s">
        <v>603</v>
      </c>
      <c r="C39" s="746"/>
      <c r="D39" s="328"/>
      <c r="E39" s="70"/>
      <c r="F39" s="328"/>
      <c r="G39" s="70"/>
      <c r="H39" s="328"/>
      <c r="I39" s="70"/>
      <c r="J39" s="328"/>
      <c r="K39" s="70"/>
    </row>
    <row r="40" spans="2:12" ht="20.149999999999999" customHeight="1" x14ac:dyDescent="0.35">
      <c r="B40" s="746" t="s">
        <v>607</v>
      </c>
      <c r="C40" s="746"/>
      <c r="D40" s="328"/>
      <c r="E40" s="70"/>
      <c r="F40" s="328"/>
      <c r="G40" s="70"/>
      <c r="H40" s="328"/>
      <c r="I40" s="70"/>
      <c r="J40" s="328"/>
      <c r="K40" s="70"/>
    </row>
    <row r="41" spans="2:12" ht="20.149999999999999" customHeight="1" x14ac:dyDescent="0.35">
      <c r="B41" s="746" t="s">
        <v>605</v>
      </c>
      <c r="C41" s="746"/>
      <c r="D41" s="295" t="str">
        <f>IF((D39+D40)=0,"",D39+D40)</f>
        <v/>
      </c>
      <c r="E41" s="70"/>
      <c r="F41" s="295" t="str">
        <f>IF((F39+F40)=0,"",F39+F40)</f>
        <v/>
      </c>
      <c r="G41" s="70"/>
      <c r="H41" s="295" t="str">
        <f>IF((H39+H40)=0,"",H39+H40)</f>
        <v/>
      </c>
      <c r="I41" s="70"/>
      <c r="J41" s="295" t="str">
        <f>IF((J39+J40)=0,"",J39+J40)</f>
        <v/>
      </c>
      <c r="K41" s="70"/>
    </row>
    <row r="42" spans="2:12" ht="20.149999999999999" customHeight="1" x14ac:dyDescent="0.35">
      <c r="B42" s="746" t="s">
        <v>1116</v>
      </c>
      <c r="C42" s="747"/>
      <c r="D42" s="300" t="str">
        <f>IFERROR(D41/D37,"")</f>
        <v/>
      </c>
      <c r="E42" s="70"/>
      <c r="F42" s="300" t="str">
        <f>IFERROR(F41/F37,"")</f>
        <v/>
      </c>
      <c r="G42" s="70"/>
      <c r="H42" s="300" t="str">
        <f>IFERROR(H41/H37,"")</f>
        <v/>
      </c>
      <c r="I42" s="70"/>
      <c r="J42" s="300" t="str">
        <f>IFERROR(J41/J37,"")</f>
        <v/>
      </c>
      <c r="K42" s="70"/>
    </row>
    <row r="43" spans="2:12" ht="20.149999999999999" customHeight="1" x14ac:dyDescent="0.35">
      <c r="B43" s="746" t="s">
        <v>1117</v>
      </c>
      <c r="C43" s="747"/>
      <c r="D43" s="300" t="str">
        <f>IFERROR((D41-D38)/D37,"")</f>
        <v/>
      </c>
      <c r="E43" s="70"/>
      <c r="F43" s="300" t="str">
        <f>IFERROR((F41-F38)/F37,"")</f>
        <v/>
      </c>
      <c r="G43" s="70"/>
      <c r="H43" s="300" t="str">
        <f>IFERROR((H41-H38)/H37,"")</f>
        <v/>
      </c>
      <c r="I43" s="70"/>
      <c r="J43" s="300" t="str">
        <f>IFERROR((J41-J38)/J37,"")</f>
        <v/>
      </c>
      <c r="K43" s="70"/>
    </row>
    <row r="44" spans="2:12" ht="20.149999999999999" customHeight="1" x14ac:dyDescent="0.35">
      <c r="B44" s="746" t="s">
        <v>981</v>
      </c>
      <c r="C44" s="747"/>
      <c r="D44" s="296" t="str">
        <f>IFERROR(D38/D41,"")</f>
        <v/>
      </c>
      <c r="E44" s="70"/>
      <c r="F44" s="296" t="str">
        <f>IFERROR(F38/F41,"")</f>
        <v/>
      </c>
      <c r="G44" s="70"/>
      <c r="H44" s="296" t="str">
        <f>IFERROR(H38/H41,"")</f>
        <v/>
      </c>
      <c r="I44" s="70"/>
      <c r="J44" s="296" t="str">
        <f>IFERROR(J38/J41,"")</f>
        <v/>
      </c>
      <c r="K44" s="70"/>
    </row>
    <row r="45" spans="2:12" ht="20.149999999999999" customHeight="1" x14ac:dyDescent="0.35">
      <c r="B45" s="748" t="s">
        <v>887</v>
      </c>
      <c r="C45" s="749"/>
      <c r="D45" s="299">
        <f>IFERROR(MAX(MIN(D38,0.8*(D41),D41-D37*0.083),0),0)</f>
        <v>0</v>
      </c>
      <c r="F45" s="299">
        <f>IFERROR(MAX(MIN(F38,0.8*(F41),F41-F37*0.5),0),0)</f>
        <v>0</v>
      </c>
      <c r="H45" s="299">
        <f>IFERROR(MAX(MIN(H38,0.8*(H41),H41-H37*0.5),0),0)</f>
        <v>0</v>
      </c>
      <c r="J45" s="299">
        <f>IFERROR(MAX(MIN(J38,0.8*(J41),J41-J37*0.5),0),0)</f>
        <v>0</v>
      </c>
    </row>
    <row r="46" spans="2:12" ht="20.149999999999999" customHeight="1" x14ac:dyDescent="0.35">
      <c r="B46" s="86" t="s">
        <v>604</v>
      </c>
      <c r="D46" s="496" t="str">
        <f>IFERROR(IF(D42="","",IF(OR(D42&lt;0.083,D42&gt;12),"Does Not Meet Payback Requirement", IF(D38&gt;0.8*(D41),"Capped at 80% of Cost",IF(D38&gt;(D41-D37*0.083),"Capped at 1 Month Payback","")))),"")</f>
        <v/>
      </c>
      <c r="F46" s="496" t="str">
        <f>IFERROR(IF(F42="","",IF(OR(F42&lt;0.5,F42&gt;10),"Does Not Meet Payback Requirement", IF(F38&gt;0.8*(F41),"Capped at 80% of Cost",IF(F38&gt;(F41-F37*0.5),"Capped at 6 Months Payback","")))),"")</f>
        <v/>
      </c>
      <c r="H46" s="496" t="str">
        <f>IFERROR(IF(H42="","",IF(OR(H42&lt;0.5,H42&gt;10),"Does Not Meet Payback Requirement", IF(H38&gt;0.8*(H41),"Capped at 80% of Cost",IF(H38&gt;(H41-H37*0.5),"Capped at 6 Months Payback","")))),"")</f>
        <v/>
      </c>
      <c r="J46" s="496" t="str">
        <f>IFERROR(IF(J42="","",IF(OR(J42&lt;0.5,J42&gt;10),"Does Not Meet Payback Requirement", IF(J38&gt;0.8*(J41),"Capped at 80% of Cost",IF(J38&gt;(J41-J37*0.5),"Capped at 6 Months Payback","")))),"")</f>
        <v/>
      </c>
    </row>
    <row r="47" spans="2:12" ht="20.149999999999999" customHeight="1" x14ac:dyDescent="0.35"/>
  </sheetData>
  <sheetProtection selectLockedCells="1"/>
  <mergeCells count="29">
    <mergeCell ref="B2:D2"/>
    <mergeCell ref="B42:C42"/>
    <mergeCell ref="B34:C34"/>
    <mergeCell ref="B11:D11"/>
    <mergeCell ref="B12:D12"/>
    <mergeCell ref="B3:D9"/>
    <mergeCell ref="B33:C33"/>
    <mergeCell ref="B40:C40"/>
    <mergeCell ref="B41:C41"/>
    <mergeCell ref="B36:C36"/>
    <mergeCell ref="B28:C28"/>
    <mergeCell ref="B29:C29"/>
    <mergeCell ref="B30:C30"/>
    <mergeCell ref="B45:C45"/>
    <mergeCell ref="B13:D13"/>
    <mergeCell ref="C16:D16"/>
    <mergeCell ref="C17:D17"/>
    <mergeCell ref="C18:D18"/>
    <mergeCell ref="B21:C21"/>
    <mergeCell ref="B22:C22"/>
    <mergeCell ref="B23:C23"/>
    <mergeCell ref="B24:C24"/>
    <mergeCell ref="B27:C27"/>
    <mergeCell ref="B43:C43"/>
    <mergeCell ref="B44:C44"/>
    <mergeCell ref="B35:C35"/>
    <mergeCell ref="B37:C37"/>
    <mergeCell ref="B38:C38"/>
    <mergeCell ref="B39:C39"/>
  </mergeCells>
  <dataValidations count="1">
    <dataValidation type="list" allowBlank="1" showInputMessage="1" showErrorMessage="1" error="Please select from the drop-down list. (click on the cell, then click on the downward triangle to the right of the cell)" sqref="D36 F36:J36" xr:uid="{00000000-0002-0000-0C00-000000000000}">
      <formula1>$L$22:$L$24</formula1>
    </dataValidation>
  </dataValidations>
  <hyperlinks>
    <hyperlink ref="B13:D13" r:id="rId1" display="http://www.amerenillinoissavings.com/wp-content/uploads/2023/05/Custom-HVAC-Calculator-2023-1.xlsx" xr:uid="{0D945616-1F76-43EB-8A30-AFDDD2C56F81}"/>
  </hyperlinks>
  <pageMargins left="0.7" right="0.7" top="0.75" bottom="0.75" header="0.3" footer="0.3"/>
  <pageSetup orientation="portrait" horizontalDpi="1200" verticalDpi="1200" r:id="rId2"/>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B2:O28"/>
  <sheetViews>
    <sheetView showGridLines="0" showRowColHeaders="0" zoomScale="90" zoomScaleNormal="90" workbookViewId="0">
      <pane ySplit="2" topLeftCell="A3" activePane="bottomLeft" state="frozen"/>
      <selection activeCell="M35" sqref="M35"/>
      <selection pane="bottomLeft" activeCell="B2" sqref="B2:D2"/>
    </sheetView>
  </sheetViews>
  <sheetFormatPr defaultRowHeight="14.5" outlineLevelCol="1" x14ac:dyDescent="0.35"/>
  <cols>
    <col min="1" max="1" width="7" customWidth="1"/>
    <col min="2" max="2" width="49" style="86" customWidth="1"/>
    <col min="3" max="3" width="20.453125" customWidth="1"/>
    <col min="4" max="4" width="30.81640625" customWidth="1"/>
    <col min="5" max="5" width="1.81640625" hidden="1" customWidth="1" outlineLevel="1"/>
    <col min="6" max="6" width="32.54296875" hidden="1" customWidth="1" outlineLevel="1"/>
    <col min="7" max="7" width="1.81640625" hidden="1" customWidth="1" outlineLevel="1"/>
    <col min="8" max="8" width="32.54296875" hidden="1" customWidth="1" outlineLevel="1"/>
    <col min="9" max="9" width="1.81640625" hidden="1" customWidth="1" outlineLevel="1"/>
    <col min="10" max="10" width="32.54296875" hidden="1" customWidth="1" outlineLevel="1"/>
    <col min="11" max="11" width="8.7265625" collapsed="1"/>
  </cols>
  <sheetData>
    <row r="2" spans="2:15" ht="21" x14ac:dyDescent="0.35">
      <c r="B2" s="741" t="s">
        <v>917</v>
      </c>
      <c r="C2" s="742"/>
      <c r="D2" s="743"/>
      <c r="K2" s="489" t="s">
        <v>1073</v>
      </c>
    </row>
    <row r="3" spans="2:15" ht="41.5" customHeight="1" x14ac:dyDescent="0.35">
      <c r="B3" s="616" t="s">
        <v>1004</v>
      </c>
      <c r="C3" s="617"/>
      <c r="D3" s="618"/>
    </row>
    <row r="4" spans="2:15" ht="60" customHeight="1" x14ac:dyDescent="0.35">
      <c r="B4" s="621"/>
      <c r="C4" s="622"/>
      <c r="D4" s="623"/>
    </row>
    <row r="5" spans="2:15" s="128" customFormat="1" ht="12.65" customHeight="1" x14ac:dyDescent="0.35">
      <c r="B5" s="126"/>
      <c r="C5" s="127"/>
      <c r="D5" s="127"/>
      <c r="E5" s="124"/>
    </row>
    <row r="6" spans="2:15" s="29" customFormat="1" ht="26.5" customHeight="1" x14ac:dyDescent="0.35">
      <c r="B6" s="483" t="s">
        <v>1035</v>
      </c>
      <c r="C6" s="484"/>
      <c r="D6" s="485"/>
      <c r="E6" s="470"/>
      <c r="F6" s="486" t="s">
        <v>1057</v>
      </c>
      <c r="G6" s="470"/>
      <c r="H6" s="486" t="s">
        <v>1058</v>
      </c>
      <c r="I6" s="470"/>
      <c r="J6" s="486" t="s">
        <v>1059</v>
      </c>
      <c r="K6" s="266"/>
    </row>
    <row r="7" spans="2:15" s="454" customFormat="1" ht="93" customHeight="1" x14ac:dyDescent="0.35">
      <c r="B7" s="461" t="s">
        <v>1018</v>
      </c>
      <c r="C7" s="745"/>
      <c r="D7" s="745"/>
      <c r="E7" s="471"/>
      <c r="F7" s="459"/>
      <c r="G7" s="471"/>
      <c r="H7" s="459"/>
      <c r="I7" s="471"/>
      <c r="J7" s="459"/>
    </row>
    <row r="8" spans="2:15" s="454" customFormat="1" ht="93" customHeight="1" x14ac:dyDescent="0.35">
      <c r="B8" s="461" t="s">
        <v>1060</v>
      </c>
      <c r="C8" s="745"/>
      <c r="D8" s="745"/>
      <c r="E8" s="471"/>
      <c r="F8" s="459"/>
      <c r="G8" s="471"/>
      <c r="H8" s="459"/>
      <c r="I8" s="471"/>
      <c r="J8" s="459"/>
      <c r="O8" s="431"/>
    </row>
    <row r="9" spans="2:15" s="454" customFormat="1" ht="93" customHeight="1" x14ac:dyDescent="0.35">
      <c r="B9" s="461" t="s">
        <v>1013</v>
      </c>
      <c r="C9" s="745"/>
      <c r="D9" s="745"/>
      <c r="E9" s="471"/>
      <c r="F9" s="459"/>
      <c r="G9" s="471"/>
      <c r="H9" s="459"/>
      <c r="I9" s="471"/>
      <c r="J9" s="459"/>
    </row>
    <row r="10" spans="2:15" s="128" customFormat="1" ht="12.65" customHeight="1" x14ac:dyDescent="0.35">
      <c r="B10" s="126"/>
      <c r="C10" s="127"/>
      <c r="D10" s="127"/>
      <c r="E10" s="124"/>
    </row>
    <row r="11" spans="2:15" s="29" customFormat="1" ht="26.5" customHeight="1" x14ac:dyDescent="0.35">
      <c r="B11" s="483" t="s">
        <v>1068</v>
      </c>
      <c r="C11" s="484"/>
      <c r="D11" s="485"/>
      <c r="E11" s="470"/>
      <c r="F11" s="486" t="s">
        <v>1039</v>
      </c>
      <c r="G11" s="470"/>
      <c r="H11" s="486" t="s">
        <v>1040</v>
      </c>
      <c r="I11" s="470"/>
      <c r="J11" s="486" t="s">
        <v>1041</v>
      </c>
    </row>
    <row r="12" spans="2:15" ht="19.5" customHeight="1" x14ac:dyDescent="0.35">
      <c r="B12" s="774" t="s">
        <v>1064</v>
      </c>
      <c r="C12" s="774"/>
      <c r="D12" s="330"/>
      <c r="E12" s="70"/>
      <c r="F12" s="330"/>
      <c r="H12" s="330"/>
      <c r="J12" s="330"/>
    </row>
    <row r="13" spans="2:15" ht="19.5" customHeight="1" x14ac:dyDescent="0.35">
      <c r="B13" s="753" t="s">
        <v>1066</v>
      </c>
      <c r="C13" s="753"/>
      <c r="D13" s="330"/>
      <c r="E13" s="70"/>
      <c r="F13" s="330"/>
      <c r="H13" s="330"/>
      <c r="J13" s="330"/>
    </row>
    <row r="14" spans="2:15" ht="19.5" customHeight="1" x14ac:dyDescent="0.35">
      <c r="B14" s="753" t="s">
        <v>1067</v>
      </c>
      <c r="C14" s="753"/>
      <c r="D14" s="330"/>
      <c r="E14" s="70"/>
      <c r="F14" s="330"/>
      <c r="H14" s="330"/>
      <c r="J14" s="330"/>
    </row>
    <row r="15" spans="2:15" s="128" customFormat="1" ht="12.65" customHeight="1" x14ac:dyDescent="0.35">
      <c r="B15" s="126"/>
      <c r="C15" s="127"/>
      <c r="D15" s="127"/>
      <c r="E15" s="124"/>
    </row>
    <row r="16" spans="2:15" s="29" customFormat="1" ht="26.5" customHeight="1" x14ac:dyDescent="0.35">
      <c r="B16" s="483" t="s">
        <v>1069</v>
      </c>
      <c r="C16" s="484"/>
      <c r="D16" s="485"/>
      <c r="E16" s="470"/>
      <c r="F16" s="486" t="s">
        <v>1039</v>
      </c>
      <c r="G16" s="470"/>
      <c r="H16" s="486" t="s">
        <v>1040</v>
      </c>
      <c r="I16" s="470"/>
      <c r="J16" s="486" t="s">
        <v>1041</v>
      </c>
      <c r="L16" s="454"/>
      <c r="M16" s="454"/>
    </row>
    <row r="17" spans="2:13" s="128" customFormat="1" ht="19.5" customHeight="1" x14ac:dyDescent="0.35">
      <c r="B17" s="775" t="s">
        <v>1065</v>
      </c>
      <c r="C17" s="776"/>
      <c r="D17" s="325"/>
      <c r="E17" s="124"/>
      <c r="F17" s="325"/>
      <c r="H17" s="325"/>
      <c r="J17" s="325"/>
    </row>
    <row r="18" spans="2:13" s="128" customFormat="1" ht="19.5" customHeight="1" x14ac:dyDescent="0.35">
      <c r="B18" s="753" t="s">
        <v>1070</v>
      </c>
      <c r="C18" s="753"/>
      <c r="D18" s="325"/>
      <c r="E18" s="124"/>
      <c r="F18" s="325"/>
      <c r="H18" s="325"/>
      <c r="J18" s="325"/>
    </row>
    <row r="19" spans="2:13" s="128" customFormat="1" ht="19.5" customHeight="1" x14ac:dyDescent="0.35">
      <c r="B19" s="753" t="s">
        <v>1071</v>
      </c>
      <c r="C19" s="753"/>
      <c r="D19" s="330"/>
      <c r="E19" s="124"/>
      <c r="F19" s="330"/>
      <c r="H19" s="330"/>
      <c r="J19" s="330"/>
    </row>
    <row r="20" spans="2:13" s="128" customFormat="1" ht="12.65" customHeight="1" x14ac:dyDescent="0.35">
      <c r="B20" s="126"/>
      <c r="C20" s="127"/>
      <c r="D20" s="127"/>
      <c r="E20" s="124"/>
    </row>
    <row r="21" spans="2:13" s="29" customFormat="1" ht="26.5" customHeight="1" x14ac:dyDescent="0.35">
      <c r="B21" s="483" t="s">
        <v>1047</v>
      </c>
      <c r="C21" s="484"/>
      <c r="D21" s="485"/>
      <c r="E21" s="470"/>
      <c r="F21" s="486" t="s">
        <v>1039</v>
      </c>
      <c r="G21" s="470"/>
      <c r="H21" s="486" t="s">
        <v>1040</v>
      </c>
      <c r="I21" s="470"/>
      <c r="J21" s="486" t="s">
        <v>1041</v>
      </c>
      <c r="L21" s="454"/>
      <c r="M21" s="454"/>
    </row>
    <row r="22" spans="2:13" ht="19.5" customHeight="1" x14ac:dyDescent="0.35">
      <c r="B22" s="746" t="s">
        <v>612</v>
      </c>
      <c r="C22" s="746"/>
      <c r="D22" s="125">
        <f>D13-D18</f>
        <v>0</v>
      </c>
      <c r="E22" s="70"/>
      <c r="F22" s="125">
        <f>F13-F18</f>
        <v>0</v>
      </c>
      <c r="H22" s="125">
        <f>H13-H18</f>
        <v>0</v>
      </c>
      <c r="J22" s="125">
        <f>J13-J18</f>
        <v>0</v>
      </c>
    </row>
    <row r="23" spans="2:13" ht="19.5" customHeight="1" x14ac:dyDescent="0.35">
      <c r="B23" s="750" t="s">
        <v>613</v>
      </c>
      <c r="C23" s="750"/>
      <c r="D23" s="125">
        <f>D14-D19</f>
        <v>0</v>
      </c>
      <c r="E23" s="70"/>
      <c r="F23" s="125">
        <f>F14-F19</f>
        <v>0</v>
      </c>
      <c r="H23" s="125">
        <f>H14-H19</f>
        <v>0</v>
      </c>
      <c r="J23" s="125">
        <f>J14-J19</f>
        <v>0</v>
      </c>
    </row>
    <row r="24" spans="2:13" ht="19.5" customHeight="1" x14ac:dyDescent="0.35">
      <c r="B24" s="746" t="s">
        <v>614</v>
      </c>
      <c r="C24" s="746"/>
      <c r="D24" s="125">
        <f>D22+D23</f>
        <v>0</v>
      </c>
      <c r="E24" s="70"/>
      <c r="F24" s="125">
        <f>F22+F23</f>
        <v>0</v>
      </c>
      <c r="H24" s="125">
        <f>H22+H23</f>
        <v>0</v>
      </c>
      <c r="J24" s="125">
        <f>J22+J23</f>
        <v>0</v>
      </c>
    </row>
    <row r="25" spans="2:13" ht="19.5" customHeight="1" x14ac:dyDescent="0.35">
      <c r="B25" s="746" t="s">
        <v>615</v>
      </c>
      <c r="C25" s="746"/>
      <c r="D25" s="125">
        <f>D24/1000</f>
        <v>0</v>
      </c>
      <c r="E25" s="70"/>
      <c r="F25" s="125">
        <f>F24/1000</f>
        <v>0</v>
      </c>
      <c r="H25" s="125">
        <f>H24/1000</f>
        <v>0</v>
      </c>
      <c r="J25" s="125">
        <f>J24/1000</f>
        <v>0</v>
      </c>
    </row>
    <row r="26" spans="2:13" ht="19.5" customHeight="1" x14ac:dyDescent="0.35">
      <c r="B26" s="746" t="s">
        <v>616</v>
      </c>
      <c r="C26" s="746"/>
      <c r="D26" s="129">
        <f>IFERROR(D25*IF(isPublic,'Measure Data'!$I74,'Measure Data'!$J74),0)</f>
        <v>0</v>
      </c>
      <c r="E26" s="70"/>
      <c r="F26" s="129">
        <f>IFERROR(F25*IF(isPublic,'Measure Data'!$I74,'Measure Data'!$J74),0)</f>
        <v>0</v>
      </c>
      <c r="H26" s="129">
        <f>IFERROR(H25*IF(isPublic,'Measure Data'!$I74,'Measure Data'!$J74),0)</f>
        <v>0</v>
      </c>
      <c r="J26" s="129">
        <f>IFERROR(J25*IF(isPublic,'Measure Data'!$I74,'Measure Data'!$J74),0)</f>
        <v>0</v>
      </c>
    </row>
    <row r="27" spans="2:13" ht="20.149999999999999" customHeight="1" x14ac:dyDescent="0.35">
      <c r="B27" s="86" t="s">
        <v>604</v>
      </c>
    </row>
    <row r="28" spans="2:13" ht="20.149999999999999" customHeight="1" x14ac:dyDescent="0.35"/>
  </sheetData>
  <sheetProtection selectLockedCells="1"/>
  <mergeCells count="16">
    <mergeCell ref="B2:D2"/>
    <mergeCell ref="B24:C24"/>
    <mergeCell ref="B25:C25"/>
    <mergeCell ref="B26:C26"/>
    <mergeCell ref="B22:C22"/>
    <mergeCell ref="B23:C23"/>
    <mergeCell ref="B3:D4"/>
    <mergeCell ref="C7:D7"/>
    <mergeCell ref="C8:D8"/>
    <mergeCell ref="C9:D9"/>
    <mergeCell ref="B19:C19"/>
    <mergeCell ref="B12:C12"/>
    <mergeCell ref="B13:C13"/>
    <mergeCell ref="B14:C14"/>
    <mergeCell ref="B17:C17"/>
    <mergeCell ref="B18:C18"/>
  </mergeCells>
  <pageMargins left="0.7" right="0.7" top="0.75" bottom="0.75" header="0.3" footer="0.3"/>
  <pageSetup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autoPageBreaks="0"/>
  </sheetPr>
  <dimension ref="A2:L45"/>
  <sheetViews>
    <sheetView showGridLines="0" showRowColHeaders="0" zoomScale="90" zoomScaleNormal="90" workbookViewId="0">
      <selection activeCell="B2" sqref="B2:I2"/>
    </sheetView>
  </sheetViews>
  <sheetFormatPr defaultRowHeight="14.5" outlineLevelRow="1" x14ac:dyDescent="0.35"/>
  <cols>
    <col min="1" max="1" width="7.26953125" customWidth="1"/>
    <col min="2" max="2" width="15" customWidth="1"/>
    <col min="3" max="7" width="13.1796875" customWidth="1"/>
    <col min="8" max="8" width="18.1796875" customWidth="1"/>
    <col min="9" max="9" width="13.1796875" customWidth="1"/>
    <col min="11" max="11" width="0" hidden="1" customWidth="1"/>
    <col min="12" max="12" width="11.7265625" hidden="1" customWidth="1"/>
  </cols>
  <sheetData>
    <row r="2" spans="1:9" ht="21" x14ac:dyDescent="0.35">
      <c r="B2" s="741" t="s">
        <v>910</v>
      </c>
      <c r="C2" s="742"/>
      <c r="D2" s="742"/>
      <c r="E2" s="742"/>
      <c r="F2" s="742"/>
      <c r="G2" s="742"/>
      <c r="H2" s="742"/>
      <c r="I2" s="743"/>
    </row>
    <row r="3" spans="1:9" ht="21" customHeight="1" x14ac:dyDescent="0.35">
      <c r="B3" s="616" t="s">
        <v>912</v>
      </c>
      <c r="C3" s="617"/>
      <c r="D3" s="617"/>
      <c r="E3" s="617"/>
      <c r="F3" s="617"/>
      <c r="G3" s="617"/>
      <c r="H3" s="617"/>
      <c r="I3" s="618"/>
    </row>
    <row r="4" spans="1:9" ht="21" customHeight="1" x14ac:dyDescent="0.35">
      <c r="B4" s="619"/>
      <c r="C4" s="535"/>
      <c r="D4" s="535"/>
      <c r="E4" s="535"/>
      <c r="F4" s="535"/>
      <c r="G4" s="535"/>
      <c r="H4" s="535"/>
      <c r="I4" s="620"/>
    </row>
    <row r="5" spans="1:9" ht="21" customHeight="1" x14ac:dyDescent="0.35">
      <c r="B5" s="619"/>
      <c r="C5" s="535"/>
      <c r="D5" s="535"/>
      <c r="E5" s="535"/>
      <c r="F5" s="535"/>
      <c r="G5" s="535"/>
      <c r="H5" s="535"/>
      <c r="I5" s="620"/>
    </row>
    <row r="6" spans="1:9" ht="25" customHeight="1" x14ac:dyDescent="0.35">
      <c r="B6" s="619"/>
      <c r="C6" s="535"/>
      <c r="D6" s="535"/>
      <c r="E6" s="535"/>
      <c r="F6" s="535"/>
      <c r="G6" s="535"/>
      <c r="H6" s="535"/>
      <c r="I6" s="620"/>
    </row>
    <row r="7" spans="1:9" ht="28" customHeight="1" x14ac:dyDescent="0.35">
      <c r="B7" s="621"/>
      <c r="C7" s="622"/>
      <c r="D7" s="622"/>
      <c r="E7" s="622"/>
      <c r="F7" s="622"/>
      <c r="G7" s="622"/>
      <c r="H7" s="622"/>
      <c r="I7" s="623"/>
    </row>
    <row r="9" spans="1:9" ht="15.5" x14ac:dyDescent="0.35">
      <c r="B9" s="744" t="str">
        <f>'Measure Data'!B145</f>
        <v>Green Nozzles</v>
      </c>
      <c r="C9" s="725"/>
      <c r="D9" s="725"/>
      <c r="E9" s="725"/>
      <c r="F9" s="725"/>
      <c r="G9" s="725"/>
      <c r="H9" s="725"/>
      <c r="I9" s="726"/>
    </row>
    <row r="10" spans="1:9" ht="20.149999999999999" customHeight="1" x14ac:dyDescent="0.35">
      <c r="A10" s="5"/>
      <c r="B10" s="730" t="s">
        <v>774</v>
      </c>
      <c r="C10" s="731"/>
      <c r="D10" s="731"/>
      <c r="E10" s="731"/>
      <c r="F10" s="731"/>
      <c r="G10" s="731"/>
      <c r="H10" s="731"/>
      <c r="I10" s="732"/>
    </row>
    <row r="11" spans="1:9" ht="17.5" customHeight="1" x14ac:dyDescent="0.35">
      <c r="A11" s="5"/>
      <c r="B11" s="708" t="s">
        <v>475</v>
      </c>
      <c r="C11" s="715"/>
      <c r="D11" s="715"/>
      <c r="E11" s="715"/>
      <c r="F11" s="715"/>
      <c r="G11" s="709"/>
      <c r="H11" s="708" t="s">
        <v>64</v>
      </c>
      <c r="I11" s="709"/>
    </row>
    <row r="12" spans="1:9" ht="35.15" customHeight="1" x14ac:dyDescent="0.35">
      <c r="B12" s="687" t="str">
        <f>'Measure Data'!C147</f>
        <v>Call toll free 1.866.800.0747 for details (Replaces current pre-rinse spray nozzle with low flow nozzle)</v>
      </c>
      <c r="C12" s="793"/>
      <c r="D12" s="793"/>
      <c r="E12" s="793"/>
      <c r="F12" s="793"/>
      <c r="G12" s="688"/>
      <c r="H12" s="791" t="str">
        <f>'Measure Data'!I147</f>
        <v>FREE to you - $100 retail value</v>
      </c>
      <c r="I12" s="792"/>
    </row>
    <row r="13" spans="1:9" ht="18.649999999999999" customHeight="1" x14ac:dyDescent="0.35"/>
    <row r="14" spans="1:9" ht="15.5" x14ac:dyDescent="0.35">
      <c r="B14" s="744" t="str">
        <f>'Measure Data'!B156</f>
        <v>Laundry: Ozone System</v>
      </c>
      <c r="C14" s="725"/>
      <c r="D14" s="725"/>
      <c r="E14" s="725"/>
      <c r="F14" s="725"/>
      <c r="G14" s="725"/>
      <c r="H14" s="725"/>
      <c r="I14" s="726"/>
    </row>
    <row r="15" spans="1:9" ht="49.5" customHeight="1" x14ac:dyDescent="0.35">
      <c r="A15" s="5"/>
      <c r="B15" s="730" t="s">
        <v>1005</v>
      </c>
      <c r="C15" s="731"/>
      <c r="D15" s="731"/>
      <c r="E15" s="731"/>
      <c r="F15" s="731"/>
      <c r="G15" s="731"/>
      <c r="H15" s="731"/>
      <c r="I15" s="732"/>
    </row>
    <row r="16" spans="1:9" ht="26" collapsed="1" x14ac:dyDescent="0.35">
      <c r="B16" s="264" t="s">
        <v>63</v>
      </c>
      <c r="C16" s="721" t="s">
        <v>787</v>
      </c>
      <c r="D16" s="721"/>
      <c r="E16" s="721"/>
      <c r="F16" s="721"/>
      <c r="G16" s="186" t="s">
        <v>62</v>
      </c>
      <c r="H16" s="264" t="s">
        <v>64</v>
      </c>
      <c r="I16" s="264" t="s">
        <v>65</v>
      </c>
    </row>
    <row r="17" spans="1:9" ht="26.5" customHeight="1" x14ac:dyDescent="0.35">
      <c r="B17" s="366"/>
      <c r="C17" s="788"/>
      <c r="D17" s="788"/>
      <c r="E17" s="789"/>
      <c r="F17" s="789"/>
      <c r="G17" s="364" t="str">
        <f>IF(ISBLANK(C17),"",'Measure Data'!B$158)</f>
        <v/>
      </c>
      <c r="H17" s="12" t="str">
        <f>IFERROR("$"&amp;VLOOKUP(G17,'Measure Data'!B:K,IF(isPublic,8,9),FALSE)&amp;"/"&amp;VLOOKUP(G17,'Measure Data'!B:K,10,FALSE),"")</f>
        <v/>
      </c>
      <c r="I17" s="14" t="str">
        <f>IFERROR(VLOOKUP(G17,'Measure Data'!B:J,IF(isPublic,8,9),FALSE)*C17,"")</f>
        <v/>
      </c>
    </row>
    <row r="18" spans="1:9" ht="26.5" hidden="1" customHeight="1" outlineLevel="1" x14ac:dyDescent="0.35">
      <c r="B18" s="366"/>
      <c r="C18" s="788"/>
      <c r="D18" s="788"/>
      <c r="E18" s="789"/>
      <c r="F18" s="789"/>
      <c r="G18" s="364" t="str">
        <f>IF(ISBLANK(C18),"",'Measure Data'!B$158)</f>
        <v/>
      </c>
      <c r="H18" s="12" t="str">
        <f>IFERROR("$"&amp;VLOOKUP(G18,'Measure Data'!B:K,IF(isPublic,8,9),FALSE)&amp;"/"&amp;VLOOKUP(G18,'Measure Data'!B:K,10,FALSE),"")</f>
        <v/>
      </c>
      <c r="I18" s="14" t="str">
        <f>IFERROR(VLOOKUP(G18,'Measure Data'!B:J,IF(isPublic,8,9),FALSE)*C18,"")</f>
        <v/>
      </c>
    </row>
    <row r="19" spans="1:9" ht="26.5" hidden="1" customHeight="1" outlineLevel="1" x14ac:dyDescent="0.35">
      <c r="B19" s="366"/>
      <c r="C19" s="788"/>
      <c r="D19" s="788"/>
      <c r="E19" s="789"/>
      <c r="F19" s="789"/>
      <c r="G19" s="364" t="str">
        <f>IF(ISBLANK(C19),"",'Measure Data'!B$158)</f>
        <v/>
      </c>
      <c r="H19" s="12" t="str">
        <f>IFERROR("$"&amp;VLOOKUP(G19,'Measure Data'!B:K,IF(isPublic,8,9),FALSE)&amp;"/"&amp;VLOOKUP(G19,'Measure Data'!B:K,10,FALSE),"")</f>
        <v/>
      </c>
      <c r="I19" s="14" t="str">
        <f>IFERROR(VLOOKUP(G19,'Measure Data'!B:J,IF(isPublic,8,9),FALSE)*C19,"")</f>
        <v/>
      </c>
    </row>
    <row r="20" spans="1:9" ht="26.5" hidden="1" customHeight="1" outlineLevel="1" x14ac:dyDescent="0.35">
      <c r="B20" s="366"/>
      <c r="C20" s="788"/>
      <c r="D20" s="788"/>
      <c r="E20" s="789"/>
      <c r="F20" s="789"/>
      <c r="G20" s="364" t="str">
        <f>IF(ISBLANK(C20),"",'Measure Data'!B$158)</f>
        <v/>
      </c>
      <c r="H20" s="12" t="str">
        <f>IFERROR("$"&amp;VLOOKUP(G20,'Measure Data'!B:K,IF(isPublic,8,9),FALSE)&amp;"/"&amp;VLOOKUP(G20,'Measure Data'!B:K,10,FALSE),"")</f>
        <v/>
      </c>
      <c r="I20" s="14" t="str">
        <f>IFERROR(VLOOKUP(G20,'Measure Data'!B:J,IF(isPublic,8,9),FALSE)*C20,"")</f>
        <v/>
      </c>
    </row>
    <row r="21" spans="1:9" ht="26.5" hidden="1" customHeight="1" outlineLevel="1" x14ac:dyDescent="0.35">
      <c r="B21" s="303"/>
      <c r="C21" s="788"/>
      <c r="D21" s="788"/>
      <c r="E21" s="789"/>
      <c r="F21" s="789"/>
      <c r="G21" s="364" t="str">
        <f>IF(ISBLANK(C21),"",'Measure Data'!B$158)</f>
        <v/>
      </c>
      <c r="H21" s="12" t="str">
        <f>IFERROR("$"&amp;VLOOKUP(G21,'Measure Data'!B:K,IF(isPublic,8,9),FALSE)&amp;"/"&amp;VLOOKUP(G21,'Measure Data'!B:K,10,FALSE),"")</f>
        <v/>
      </c>
      <c r="I21" s="14" t="str">
        <f>IFERROR(VLOOKUP(G21,'Measure Data'!B:J,IF(isPublic,8,9),FALSE)*C21,"")</f>
        <v/>
      </c>
    </row>
    <row r="22" spans="1:9" collapsed="1" x14ac:dyDescent="0.35">
      <c r="B22" s="266" t="s">
        <v>739</v>
      </c>
    </row>
    <row r="23" spans="1:9" ht="18.649999999999999" customHeight="1" x14ac:dyDescent="0.35"/>
    <row r="24" spans="1:9" ht="15.5" x14ac:dyDescent="0.35">
      <c r="B24" s="744" t="str">
        <f>'Measure Data'!B161</f>
        <v>Laundry: Commercial Dryer Moisture Sensor</v>
      </c>
      <c r="C24" s="725"/>
      <c r="D24" s="725"/>
      <c r="E24" s="725"/>
      <c r="F24" s="725"/>
      <c r="G24" s="725"/>
      <c r="H24" s="725"/>
      <c r="I24" s="726"/>
    </row>
    <row r="25" spans="1:9" ht="64" customHeight="1" x14ac:dyDescent="0.35">
      <c r="A25" s="5"/>
      <c r="B25" s="730" t="s">
        <v>1000</v>
      </c>
      <c r="C25" s="731"/>
      <c r="D25" s="731"/>
      <c r="E25" s="731"/>
      <c r="F25" s="731"/>
      <c r="G25" s="731"/>
      <c r="H25" s="731"/>
      <c r="I25" s="732"/>
    </row>
    <row r="26" spans="1:9" ht="26" collapsed="1" x14ac:dyDescent="0.35">
      <c r="B26" s="264" t="s">
        <v>63</v>
      </c>
      <c r="C26" s="708" t="s">
        <v>788</v>
      </c>
      <c r="D26" s="715"/>
      <c r="E26" s="709"/>
      <c r="F26" s="269"/>
      <c r="G26" s="186" t="s">
        <v>62</v>
      </c>
      <c r="H26" s="264" t="s">
        <v>64</v>
      </c>
      <c r="I26" s="264" t="s">
        <v>65</v>
      </c>
    </row>
    <row r="27" spans="1:9" ht="26.5" customHeight="1" x14ac:dyDescent="0.35">
      <c r="B27" s="303"/>
      <c r="C27" s="736"/>
      <c r="D27" s="790"/>
      <c r="E27" s="737"/>
      <c r="F27" s="273"/>
      <c r="G27" s="265" t="str">
        <f>IF(ISBLANK(C27),"",'Measure Data'!B163)</f>
        <v/>
      </c>
      <c r="H27" s="12" t="str">
        <f>IFERROR("$"&amp;VLOOKUP(G27,'Measure Data'!B:K,IF(isPublic,8,9),FALSE)&amp;"/"&amp;VLOOKUP(G27,'Measure Data'!B:K,10,FALSE),"")</f>
        <v/>
      </c>
      <c r="I27" s="14" t="str">
        <f>IFERROR(VLOOKUP(G27,'Measure Data'!B:J,IF(isPublic,8,9),FALSE)*B27,"")</f>
        <v/>
      </c>
    </row>
    <row r="28" spans="1:9" ht="18.649999999999999" customHeight="1" x14ac:dyDescent="0.35"/>
    <row r="29" spans="1:9" ht="15.5" x14ac:dyDescent="0.35">
      <c r="B29" s="735" t="str">
        <f>'Measure Data'!B171</f>
        <v>Commercial Pool Cover</v>
      </c>
      <c r="C29" s="725"/>
      <c r="D29" s="725"/>
      <c r="E29" s="725"/>
      <c r="F29" s="725"/>
      <c r="G29" s="725"/>
      <c r="H29" s="725"/>
      <c r="I29" s="726"/>
    </row>
    <row r="30" spans="1:9" ht="49" customHeight="1" x14ac:dyDescent="0.35">
      <c r="A30" s="5"/>
      <c r="B30" s="730" t="s">
        <v>1001</v>
      </c>
      <c r="C30" s="787"/>
      <c r="D30" s="787"/>
      <c r="E30" s="787"/>
      <c r="F30" s="787"/>
      <c r="G30" s="731"/>
      <c r="H30" s="731"/>
      <c r="I30" s="732"/>
    </row>
    <row r="31" spans="1:9" ht="26" collapsed="1" x14ac:dyDescent="0.35">
      <c r="B31" s="264" t="s">
        <v>796</v>
      </c>
      <c r="C31" s="721" t="s">
        <v>794</v>
      </c>
      <c r="D31" s="721"/>
      <c r="E31" s="721"/>
      <c r="F31" s="721"/>
      <c r="G31" s="187" t="s">
        <v>62</v>
      </c>
      <c r="H31" s="264" t="s">
        <v>64</v>
      </c>
      <c r="I31" s="264" t="s">
        <v>65</v>
      </c>
    </row>
    <row r="32" spans="1:9" ht="26.5" customHeight="1" x14ac:dyDescent="0.35">
      <c r="B32" s="381"/>
      <c r="C32" s="788"/>
      <c r="D32" s="788"/>
      <c r="E32" s="789"/>
      <c r="F32" s="789"/>
      <c r="G32" s="380" t="str">
        <f>IF(ISBLANK(C32),"",'Measure Data'!B$173)</f>
        <v/>
      </c>
      <c r="H32" s="12" t="str">
        <f>IFERROR(TEXT(VLOOKUP(G32,'Measure Data'!B:K,IF(isPublic,8,9),FALSE),"$#,###.00")&amp;"/"&amp;VLOOKUP(G32,'Measure Data'!B:K,10,FALSE),"")</f>
        <v/>
      </c>
      <c r="I32" s="293" t="str">
        <f>IFERROR(VLOOKUP(G32,'Measure Data'!B:J,IF(isPublic,8,9),FALSE)*B32,"")</f>
        <v/>
      </c>
    </row>
    <row r="33" spans="1:9" ht="26.5" customHeight="1" x14ac:dyDescent="0.35">
      <c r="B33" s="303"/>
      <c r="C33" s="788"/>
      <c r="D33" s="788"/>
      <c r="E33" s="789"/>
      <c r="F33" s="789"/>
      <c r="G33" s="267" t="str">
        <f>IF(ISBLANK(C33),"",'Measure Data'!B$173)</f>
        <v/>
      </c>
      <c r="H33" s="12" t="str">
        <f>IFERROR(TEXT(VLOOKUP(G33,'Measure Data'!B:K,IF(isPublic,8,9),FALSE),"$#,###.00")&amp;"/"&amp;VLOOKUP(G33,'Measure Data'!B:K,10,FALSE),"")</f>
        <v/>
      </c>
      <c r="I33" s="293" t="str">
        <f>IFERROR(VLOOKUP(G33,'Measure Data'!B:J,IF(isPublic,8,9),FALSE)*B33,"")</f>
        <v/>
      </c>
    </row>
    <row r="34" spans="1:9" ht="18.649999999999999" customHeight="1" x14ac:dyDescent="0.35"/>
    <row r="35" spans="1:9" ht="15.5" x14ac:dyDescent="0.35">
      <c r="B35" s="735" t="str">
        <f>'Measure Data'!B175</f>
        <v>Pool Pump VFD</v>
      </c>
      <c r="C35" s="725"/>
      <c r="D35" s="725"/>
      <c r="E35" s="725"/>
      <c r="F35" s="725"/>
      <c r="G35" s="725"/>
      <c r="H35" s="725"/>
      <c r="I35" s="726"/>
    </row>
    <row r="36" spans="1:9" s="357" customFormat="1" ht="102" customHeight="1" x14ac:dyDescent="0.35">
      <c r="A36" s="385"/>
      <c r="B36" s="777" t="s">
        <v>800</v>
      </c>
      <c r="C36" s="778"/>
      <c r="D36" s="778"/>
      <c r="E36" s="778"/>
      <c r="F36" s="778"/>
      <c r="G36" s="779"/>
      <c r="H36" s="779"/>
      <c r="I36" s="780"/>
    </row>
    <row r="37" spans="1:9" s="357" customFormat="1" ht="26" collapsed="1" x14ac:dyDescent="0.35">
      <c r="B37" s="386" t="s">
        <v>799</v>
      </c>
      <c r="C37" s="386" t="s">
        <v>801</v>
      </c>
      <c r="D37" s="781"/>
      <c r="E37" s="782"/>
      <c r="F37" s="783"/>
      <c r="G37" s="387" t="s">
        <v>62</v>
      </c>
      <c r="H37" s="386" t="s">
        <v>64</v>
      </c>
      <c r="I37" s="386" t="s">
        <v>65</v>
      </c>
    </row>
    <row r="38" spans="1:9" s="357" customFormat="1" ht="26.5" customHeight="1" x14ac:dyDescent="0.35">
      <c r="B38" s="366"/>
      <c r="C38" s="366"/>
      <c r="D38" s="784"/>
      <c r="E38" s="785"/>
      <c r="F38" s="786"/>
      <c r="G38" s="388" t="str">
        <f>IF(ISBLANK(C38),"",'Measure Data'!B$177)</f>
        <v/>
      </c>
      <c r="H38" s="389" t="str">
        <f>IFERROR("$"&amp;VLOOKUP(G38,'Measure Data'!B:K,IF(isPublic,8,9),FALSE)&amp;"/"&amp;VLOOKUP(G38,'Measure Data'!B:K,10,FALSE),"")</f>
        <v/>
      </c>
      <c r="I38" s="390" t="str">
        <f>IFERROR(VLOOKUP(G38,'Measure Data'!B:J,IF(isPublic,8,9),FALSE)*B38,"")</f>
        <v/>
      </c>
    </row>
    <row r="39" spans="1:9" s="357" customFormat="1" ht="26.5" hidden="1" customHeight="1" outlineLevel="1" x14ac:dyDescent="0.35">
      <c r="B39" s="366"/>
      <c r="C39" s="366"/>
      <c r="D39" s="784"/>
      <c r="E39" s="785"/>
      <c r="F39" s="786"/>
      <c r="G39" s="388" t="str">
        <f>IF(ISBLANK(C39),"",'Measure Data'!B$177)</f>
        <v/>
      </c>
      <c r="H39" s="389" t="str">
        <f>IFERROR("$"&amp;VLOOKUP(G39,'Measure Data'!B:K,IF(isPublic,8,9),FALSE)&amp;"/"&amp;VLOOKUP(G39,'Measure Data'!B:K,10,FALSE),"")</f>
        <v/>
      </c>
      <c r="I39" s="390" t="str">
        <f>IFERROR(VLOOKUP(G39,'Measure Data'!B:J,IF(isPublic,8,9),FALSE)*B39,"")</f>
        <v/>
      </c>
    </row>
    <row r="40" spans="1:9" s="357" customFormat="1" ht="26.5" hidden="1" customHeight="1" outlineLevel="1" x14ac:dyDescent="0.35">
      <c r="B40" s="366"/>
      <c r="C40" s="366"/>
      <c r="D40" s="784"/>
      <c r="E40" s="785"/>
      <c r="F40" s="786"/>
      <c r="G40" s="388" t="str">
        <f>IF(ISBLANK(C40),"",'Measure Data'!B$177)</f>
        <v/>
      </c>
      <c r="H40" s="389" t="str">
        <f>IFERROR("$"&amp;VLOOKUP(G40,'Measure Data'!B:K,IF(isPublic,8,9),FALSE)&amp;"/"&amp;VLOOKUP(G40,'Measure Data'!B:K,10,FALSE),"")</f>
        <v/>
      </c>
      <c r="I40" s="390" t="str">
        <f>IFERROR(VLOOKUP(G40,'Measure Data'!B:J,IF(isPublic,8,9),FALSE)*B40,"")</f>
        <v/>
      </c>
    </row>
    <row r="41" spans="1:9" s="357" customFormat="1" ht="26.5" hidden="1" customHeight="1" outlineLevel="1" x14ac:dyDescent="0.35">
      <c r="B41" s="366"/>
      <c r="C41" s="366"/>
      <c r="D41" s="784"/>
      <c r="E41" s="785"/>
      <c r="F41" s="786"/>
      <c r="G41" s="388" t="str">
        <f>IF(ISBLANK(C41),"",'Measure Data'!B$177)</f>
        <v/>
      </c>
      <c r="H41" s="389" t="str">
        <f>IFERROR("$"&amp;VLOOKUP(G41,'Measure Data'!B:K,IF(isPublic,8,9),FALSE)&amp;"/"&amp;VLOOKUP(G41,'Measure Data'!B:K,10,FALSE),"")</f>
        <v/>
      </c>
      <c r="I41" s="390" t="str">
        <f>IFERROR(VLOOKUP(G41,'Measure Data'!B:J,IF(isPublic,8,9),FALSE)*B41,"")</f>
        <v/>
      </c>
    </row>
    <row r="42" spans="1:9" s="357" customFormat="1" collapsed="1" x14ac:dyDescent="0.35">
      <c r="B42" s="391" t="s">
        <v>739</v>
      </c>
    </row>
    <row r="43" spans="1:9" s="357" customFormat="1" x14ac:dyDescent="0.35"/>
    <row r="44" spans="1:9" s="357" customFormat="1" x14ac:dyDescent="0.35">
      <c r="D44" s="392"/>
    </row>
    <row r="45" spans="1:9" s="357" customFormat="1" x14ac:dyDescent="0.35">
      <c r="D45" s="392"/>
    </row>
  </sheetData>
  <mergeCells count="41">
    <mergeCell ref="E19:F19"/>
    <mergeCell ref="B2:I2"/>
    <mergeCell ref="B3:I7"/>
    <mergeCell ref="B9:I9"/>
    <mergeCell ref="B10:I10"/>
    <mergeCell ref="H11:I11"/>
    <mergeCell ref="H12:I12"/>
    <mergeCell ref="B11:G11"/>
    <mergeCell ref="B12:G12"/>
    <mergeCell ref="B14:I14"/>
    <mergeCell ref="B24:I24"/>
    <mergeCell ref="B25:I25"/>
    <mergeCell ref="C26:E26"/>
    <mergeCell ref="C27:E27"/>
    <mergeCell ref="B15:I15"/>
    <mergeCell ref="C16:D16"/>
    <mergeCell ref="E16:F16"/>
    <mergeCell ref="C21:D21"/>
    <mergeCell ref="E21:F21"/>
    <mergeCell ref="C17:D17"/>
    <mergeCell ref="E17:F17"/>
    <mergeCell ref="C20:D20"/>
    <mergeCell ref="E20:F20"/>
    <mergeCell ref="C18:D18"/>
    <mergeCell ref="E18:F18"/>
    <mergeCell ref="C19:D19"/>
    <mergeCell ref="B35:I35"/>
    <mergeCell ref="B36:I36"/>
    <mergeCell ref="D37:F37"/>
    <mergeCell ref="D41:F41"/>
    <mergeCell ref="B29:I29"/>
    <mergeCell ref="B30:I30"/>
    <mergeCell ref="C31:D31"/>
    <mergeCell ref="C33:D33"/>
    <mergeCell ref="E31:F31"/>
    <mergeCell ref="E33:F33"/>
    <mergeCell ref="C32:D32"/>
    <mergeCell ref="E32:F32"/>
    <mergeCell ref="D38:F38"/>
    <mergeCell ref="D39:F39"/>
    <mergeCell ref="D40:F40"/>
  </mergeCells>
  <dataValidations count="2">
    <dataValidation type="decimal" allowBlank="1" showInputMessage="1" showErrorMessage="1" error="Value must be a number 100 - 400" sqref="C17:D21" xr:uid="{00000000-0002-0000-0E00-000004000000}">
      <formula1>100</formula1>
      <formula2>400</formula2>
    </dataValidation>
    <dataValidation type="decimal" allowBlank="1" showInputMessage="1" showErrorMessage="1" error="Value should be a number 3 or less" sqref="C38:C41" xr:uid="{00000000-0002-0000-0E00-000005000000}">
      <formula1>0</formula1>
      <formula2>3.5</formula2>
    </dataValidation>
  </dataValidations>
  <pageMargins left="0.7" right="0.7" top="0.75" bottom="0.75" header="0.3" footer="0.3"/>
  <pageSetup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Please select from the drop-down list. (click on the cell, then click on the downward triangle to the right of the cell)" xr:uid="{00000000-0002-0000-0E00-000006000000}">
          <x14:formula1>
            <xm:f>'Measure Data'!$D$173:$D$174</xm:f>
          </x14:formula1>
          <xm:sqref>C32:D33</xm:sqref>
        </x14:dataValidation>
        <x14:dataValidation type="list" allowBlank="1" showInputMessage="1" showErrorMessage="1" error="Please select from the drop-down list. (click on the cell, then click on the downward triangle to the right of the cell)" xr:uid="{00000000-0002-0000-0E00-000009000000}">
          <x14:formula1>
            <xm:f>'Measure Data'!$D$163:$D$168</xm:f>
          </x14:formula1>
          <xm:sqref>C27:E27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2:I26"/>
  <sheetViews>
    <sheetView showGridLines="0" showRowColHeaders="0" zoomScale="90" zoomScaleNormal="90" workbookViewId="0">
      <selection activeCell="B2" sqref="B2:I2"/>
    </sheetView>
  </sheetViews>
  <sheetFormatPr defaultRowHeight="14.5" outlineLevelRow="1" x14ac:dyDescent="0.35"/>
  <cols>
    <col min="1" max="1" width="7.1796875" customWidth="1"/>
    <col min="2" max="2" width="15" customWidth="1"/>
    <col min="3" max="4" width="13.1796875" customWidth="1"/>
    <col min="5" max="5" width="13.54296875" customWidth="1"/>
    <col min="6" max="6" width="14" customWidth="1"/>
    <col min="7" max="7" width="13.1796875" customWidth="1"/>
    <col min="8" max="8" width="18.1796875" customWidth="1"/>
    <col min="9" max="9" width="13.1796875" customWidth="1"/>
  </cols>
  <sheetData>
    <row r="2" spans="1:9" ht="21" x14ac:dyDescent="0.35">
      <c r="B2" s="741" t="s">
        <v>919</v>
      </c>
      <c r="C2" s="742"/>
      <c r="D2" s="742"/>
      <c r="E2" s="742"/>
      <c r="F2" s="742"/>
      <c r="G2" s="742"/>
      <c r="H2" s="742"/>
      <c r="I2" s="743"/>
    </row>
    <row r="3" spans="1:9" ht="22" customHeight="1" x14ac:dyDescent="0.35">
      <c r="B3" s="616" t="s">
        <v>912</v>
      </c>
      <c r="C3" s="617"/>
      <c r="D3" s="617"/>
      <c r="E3" s="617"/>
      <c r="F3" s="617"/>
      <c r="G3" s="617"/>
      <c r="H3" s="617"/>
      <c r="I3" s="618"/>
    </row>
    <row r="4" spans="1:9" ht="22" customHeight="1" x14ac:dyDescent="0.35">
      <c r="B4" s="619"/>
      <c r="C4" s="535"/>
      <c r="D4" s="535"/>
      <c r="E4" s="535"/>
      <c r="F4" s="535"/>
      <c r="G4" s="535"/>
      <c r="H4" s="535"/>
      <c r="I4" s="620"/>
    </row>
    <row r="5" spans="1:9" ht="22" customHeight="1" x14ac:dyDescent="0.35">
      <c r="B5" s="619"/>
      <c r="C5" s="535"/>
      <c r="D5" s="535"/>
      <c r="E5" s="535"/>
      <c r="F5" s="535"/>
      <c r="G5" s="535"/>
      <c r="H5" s="535"/>
      <c r="I5" s="620"/>
    </row>
    <row r="6" spans="1:9" ht="22" customHeight="1" x14ac:dyDescent="0.35">
      <c r="B6" s="619"/>
      <c r="C6" s="535"/>
      <c r="D6" s="535"/>
      <c r="E6" s="535"/>
      <c r="F6" s="535"/>
      <c r="G6" s="535"/>
      <c r="H6" s="535"/>
      <c r="I6" s="620"/>
    </row>
    <row r="7" spans="1:9" ht="23.25" customHeight="1" x14ac:dyDescent="0.35">
      <c r="B7" s="621"/>
      <c r="C7" s="622"/>
      <c r="D7" s="622"/>
      <c r="E7" s="622"/>
      <c r="F7" s="622"/>
      <c r="G7" s="622"/>
      <c r="H7" s="622"/>
      <c r="I7" s="623"/>
    </row>
    <row r="9" spans="1:9" ht="15.5" x14ac:dyDescent="0.35">
      <c r="B9" s="735" t="str">
        <f>'Measure Data'!B190</f>
        <v>Evaporator Fan EC Motor Controls</v>
      </c>
      <c r="C9" s="725"/>
      <c r="D9" s="725"/>
      <c r="E9" s="725"/>
      <c r="F9" s="725"/>
      <c r="G9" s="725"/>
      <c r="H9" s="725"/>
      <c r="I9" s="726"/>
    </row>
    <row r="10" spans="1:9" ht="88" customHeight="1" x14ac:dyDescent="0.35">
      <c r="A10" s="5"/>
      <c r="B10" s="730" t="s">
        <v>841</v>
      </c>
      <c r="C10" s="731"/>
      <c r="D10" s="731"/>
      <c r="E10" s="731"/>
      <c r="F10" s="731"/>
      <c r="G10" s="731"/>
      <c r="H10" s="731"/>
      <c r="I10" s="732"/>
    </row>
    <row r="11" spans="1:9" ht="26.15" customHeight="1" x14ac:dyDescent="0.35">
      <c r="A11" s="5"/>
      <c r="B11" s="264" t="s">
        <v>833</v>
      </c>
      <c r="C11" s="264" t="s">
        <v>834</v>
      </c>
      <c r="D11" s="721" t="s">
        <v>825</v>
      </c>
      <c r="E11" s="721"/>
      <c r="F11" s="269"/>
      <c r="G11" s="186" t="s">
        <v>62</v>
      </c>
      <c r="H11" s="264" t="s">
        <v>64</v>
      </c>
      <c r="I11" s="264" t="s">
        <v>65</v>
      </c>
    </row>
    <row r="12" spans="1:9" ht="26.5" customHeight="1" x14ac:dyDescent="0.35">
      <c r="B12" s="303"/>
      <c r="C12" s="303"/>
      <c r="D12" s="736"/>
      <c r="E12" s="737"/>
      <c r="F12" s="273"/>
      <c r="G12" s="15" t="str">
        <f>IF(OR(ISBLANK(C12),ISBLANK(D12)),"",'Measure Data'!B$192)</f>
        <v/>
      </c>
      <c r="H12" s="12" t="str">
        <f>IFERROR("$" &amp; VLOOKUP(G12,'Measure Data'!B:J,9,FALSE) &amp; "/" &amp; VLOOKUP(G12,'Measure Data'!B:K,10,FALSE),"")</f>
        <v/>
      </c>
      <c r="I12" s="14" t="str">
        <f>IFERROR(IF(G12&lt;&gt;"",VLOOKUP(G12,'Measure Data'!B:J,9,FALSE)*B12,""),"")</f>
        <v/>
      </c>
    </row>
    <row r="13" spans="1:9" ht="26.5" customHeight="1" x14ac:dyDescent="0.35">
      <c r="B13" s="303"/>
      <c r="C13" s="303"/>
      <c r="D13" s="736"/>
      <c r="E13" s="737"/>
      <c r="F13" s="273"/>
      <c r="G13" s="15" t="str">
        <f>IF(OR(ISBLANK(C13),ISBLANK(D13)),"",'Measure Data'!B$192)</f>
        <v/>
      </c>
      <c r="H13" s="12" t="str">
        <f>IFERROR("$" &amp; VLOOKUP(G13,'Measure Data'!B:J,9,FALSE) &amp; "/" &amp; VLOOKUP(G13,'Measure Data'!B:K,10,FALSE),"")</f>
        <v/>
      </c>
      <c r="I13" s="14" t="str">
        <f>IFERROR(IF(G13&lt;&gt;"",VLOOKUP(G13,'Measure Data'!B:J,9,FALSE)*B13,""),"")</f>
        <v/>
      </c>
    </row>
    <row r="14" spans="1:9" ht="26.5" hidden="1" customHeight="1" outlineLevel="1" x14ac:dyDescent="0.35">
      <c r="B14" s="303"/>
      <c r="C14" s="303"/>
      <c r="D14" s="736"/>
      <c r="E14" s="737"/>
      <c r="F14" s="273"/>
      <c r="G14" s="15" t="str">
        <f>IF(OR(ISBLANK(C14),ISBLANK(D14)),"",'Measure Data'!B$192)</f>
        <v/>
      </c>
      <c r="H14" s="12" t="str">
        <f>IFERROR("$" &amp; VLOOKUP(G14,'Measure Data'!B:J,9,FALSE) &amp; "/" &amp; VLOOKUP(G14,'Measure Data'!B:K,10,FALSE),"")</f>
        <v/>
      </c>
      <c r="I14" s="14" t="str">
        <f>IFERROR(IF(G14&lt;&gt;"",VLOOKUP(G14,'Measure Data'!B:J,9,FALSE)*B14,""),"")</f>
        <v/>
      </c>
    </row>
    <row r="15" spans="1:9" ht="26.5" hidden="1" customHeight="1" outlineLevel="1" x14ac:dyDescent="0.35">
      <c r="B15" s="303"/>
      <c r="C15" s="303"/>
      <c r="D15" s="736"/>
      <c r="E15" s="737"/>
      <c r="F15" s="273"/>
      <c r="G15" s="15" t="str">
        <f>IF(OR(ISBLANK(C15),ISBLANK(D15)),"",'Measure Data'!B$192)</f>
        <v/>
      </c>
      <c r="H15" s="12" t="str">
        <f>IFERROR("$" &amp; VLOOKUP(G15,'Measure Data'!B:J,9,FALSE) &amp; "/" &amp; VLOOKUP(G15,'Measure Data'!B:K,10,FALSE),"")</f>
        <v/>
      </c>
      <c r="I15" s="14" t="str">
        <f>IFERROR(IF(G15&lt;&gt;"",VLOOKUP(G15,'Measure Data'!B:J,9,FALSE)*B15,""),"")</f>
        <v/>
      </c>
    </row>
    <row r="16" spans="1:9" ht="26.5" hidden="1" customHeight="1" outlineLevel="1" x14ac:dyDescent="0.35">
      <c r="B16" s="303"/>
      <c r="C16" s="303"/>
      <c r="D16" s="736"/>
      <c r="E16" s="737"/>
      <c r="F16" s="273"/>
      <c r="G16" s="15" t="str">
        <f>IF(OR(ISBLANK(C16),ISBLANK(D16)),"",'Measure Data'!B$192)</f>
        <v/>
      </c>
      <c r="H16" s="12" t="str">
        <f>IFERROR("$" &amp; VLOOKUP(G16,'Measure Data'!B:J,9,FALSE) &amp; "/" &amp; VLOOKUP(G16,'Measure Data'!B:K,10,FALSE),"")</f>
        <v/>
      </c>
      <c r="I16" s="14" t="str">
        <f>IFERROR(IF(G16&lt;&gt;"",VLOOKUP(G16,'Measure Data'!B:J,9,FALSE)*B16,""),"")</f>
        <v/>
      </c>
    </row>
    <row r="17" spans="1:9" collapsed="1" x14ac:dyDescent="0.35">
      <c r="B17" s="266" t="s">
        <v>739</v>
      </c>
    </row>
    <row r="18" spans="1:9" ht="22.5" customHeight="1" x14ac:dyDescent="0.35"/>
    <row r="19" spans="1:9" ht="15.5" x14ac:dyDescent="0.35">
      <c r="B19" s="735" t="str">
        <f>'Measure Data'!B198</f>
        <v>Q-Sync Motors</v>
      </c>
      <c r="C19" s="725"/>
      <c r="D19" s="725"/>
      <c r="E19" s="725"/>
      <c r="F19" s="725"/>
      <c r="G19" s="725"/>
      <c r="H19" s="725"/>
      <c r="I19" s="726"/>
    </row>
    <row r="20" spans="1:9" ht="36.65" customHeight="1" x14ac:dyDescent="0.35">
      <c r="A20" s="5"/>
      <c r="B20" s="730" t="s">
        <v>842</v>
      </c>
      <c r="C20" s="731"/>
      <c r="D20" s="731"/>
      <c r="E20" s="731"/>
      <c r="F20" s="731"/>
      <c r="G20" s="731"/>
      <c r="H20" s="731"/>
      <c r="I20" s="732"/>
    </row>
    <row r="21" spans="1:9" ht="26.15" customHeight="1" x14ac:dyDescent="0.35">
      <c r="A21" s="5"/>
      <c r="B21" s="264" t="s">
        <v>843</v>
      </c>
      <c r="C21" s="721" t="s">
        <v>844</v>
      </c>
      <c r="D21" s="721"/>
      <c r="E21" s="715"/>
      <c r="F21" s="709"/>
      <c r="G21" s="186" t="s">
        <v>62</v>
      </c>
      <c r="H21" s="264" t="s">
        <v>64</v>
      </c>
      <c r="I21" s="264" t="s">
        <v>65</v>
      </c>
    </row>
    <row r="22" spans="1:9" ht="26.5" customHeight="1" x14ac:dyDescent="0.35">
      <c r="B22" s="303"/>
      <c r="C22" s="788"/>
      <c r="D22" s="788"/>
      <c r="E22" s="796" t="s">
        <v>1010</v>
      </c>
      <c r="F22" s="797"/>
      <c r="G22" s="15" t="str">
        <f>IF(ISBLANK(C22),"",'Measure Data'!B$200)</f>
        <v/>
      </c>
      <c r="H22" s="12" t="str">
        <f>IFERROR("$" &amp; VLOOKUP(G22,'Measure Data'!B:J,9,FALSE) &amp; "/" &amp; VLOOKUP(G22,'Measure Data'!B:K,10,FALSE),"")</f>
        <v/>
      </c>
      <c r="I22" s="14" t="str">
        <f>IFERROR(IF(G22&lt;&gt;"",VLOOKUP(G22,'Measure Data'!B:J,9,FALSE)*B22,""),"")</f>
        <v/>
      </c>
    </row>
    <row r="23" spans="1:9" ht="26.5" customHeight="1" x14ac:dyDescent="0.35">
      <c r="B23" s="303"/>
      <c r="C23" s="788"/>
      <c r="D23" s="788"/>
      <c r="E23" s="794"/>
      <c r="F23" s="795"/>
      <c r="G23" s="15" t="str">
        <f>IF(ISBLANK(C23),"",'Measure Data'!B$200)</f>
        <v/>
      </c>
      <c r="H23" s="12" t="str">
        <f>IFERROR("$" &amp; VLOOKUP(G23,'Measure Data'!B:J,9,FALSE) &amp; "/" &amp; VLOOKUP(G23,'Measure Data'!B:K,10,FALSE),"")</f>
        <v/>
      </c>
      <c r="I23" s="14" t="str">
        <f>IFERROR(IF(G23&lt;&gt;"",VLOOKUP(G23,'Measure Data'!B:J,9,FALSE)*B23,""),"")</f>
        <v/>
      </c>
    </row>
    <row r="24" spans="1:9" ht="26.5" hidden="1" customHeight="1" outlineLevel="1" x14ac:dyDescent="0.35">
      <c r="B24" s="303"/>
      <c r="C24" s="788"/>
      <c r="D24" s="788"/>
      <c r="E24" s="794"/>
      <c r="F24" s="795"/>
      <c r="G24" s="15" t="str">
        <f>IF(ISBLANK(C24),"",'Measure Data'!B$200)</f>
        <v/>
      </c>
      <c r="H24" s="12" t="str">
        <f>IFERROR("$" &amp; VLOOKUP(G24,'Measure Data'!B:J,9,FALSE) &amp; "/" &amp; VLOOKUP(G24,'Measure Data'!B:K,10,FALSE),"")</f>
        <v/>
      </c>
      <c r="I24" s="14" t="str">
        <f>IFERROR(IF(G24&lt;&gt;"",VLOOKUP(G24,'Measure Data'!B:J,9,FALSE)*B24,""),"")</f>
        <v/>
      </c>
    </row>
    <row r="25" spans="1:9" ht="26.5" hidden="1" customHeight="1" outlineLevel="1" x14ac:dyDescent="0.35">
      <c r="B25" s="303"/>
      <c r="C25" s="788"/>
      <c r="D25" s="788"/>
      <c r="E25" s="794"/>
      <c r="F25" s="795"/>
      <c r="G25" s="15" t="str">
        <f>IF(ISBLANK(C25),"",'Measure Data'!B$200)</f>
        <v/>
      </c>
      <c r="H25" s="12" t="str">
        <f>IFERROR("$" &amp; VLOOKUP(G25,'Measure Data'!B:J,9,FALSE) &amp; "/" &amp; VLOOKUP(G25,'Measure Data'!B:K,10,FALSE),"")</f>
        <v/>
      </c>
      <c r="I25" s="14" t="str">
        <f>IFERROR(IF(G25&lt;&gt;"",VLOOKUP(G25,'Measure Data'!B:J,9,FALSE)*B25,""),"")</f>
        <v/>
      </c>
    </row>
    <row r="26" spans="1:9" collapsed="1" x14ac:dyDescent="0.35">
      <c r="B26" s="266" t="s">
        <v>739</v>
      </c>
    </row>
  </sheetData>
  <mergeCells count="22">
    <mergeCell ref="B9:I9"/>
    <mergeCell ref="B10:I10"/>
    <mergeCell ref="B3:I7"/>
    <mergeCell ref="B2:I2"/>
    <mergeCell ref="D13:E13"/>
    <mergeCell ref="D14:E14"/>
    <mergeCell ref="D15:E15"/>
    <mergeCell ref="B19:I19"/>
    <mergeCell ref="D11:E11"/>
    <mergeCell ref="D16:E16"/>
    <mergeCell ref="D12:E12"/>
    <mergeCell ref="C21:D21"/>
    <mergeCell ref="C25:D25"/>
    <mergeCell ref="E21:F21"/>
    <mergeCell ref="E25:F25"/>
    <mergeCell ref="B20:I20"/>
    <mergeCell ref="C24:D24"/>
    <mergeCell ref="E24:F24"/>
    <mergeCell ref="C22:D22"/>
    <mergeCell ref="E22:F22"/>
    <mergeCell ref="C23:D23"/>
    <mergeCell ref="E23:F23"/>
  </mergeCells>
  <pageMargins left="0.7" right="0.7" top="0.75" bottom="0.75" header="0.3" footer="0.3"/>
  <pageSetup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F00-000001000000}">
          <x14:formula1>
            <xm:f>'Measure Data'!$D$192:$D$196</xm:f>
          </x14:formula1>
          <xm:sqref>F12:F16</xm:sqref>
        </x14:dataValidation>
        <x14:dataValidation type="list" allowBlank="1" showInputMessage="1" showErrorMessage="1" error="Please select from the drop-down list. (click on the cell, then click on the downward triangle to the right of the cell)" xr:uid="{00000000-0002-0000-0F00-000002000000}">
          <x14:formula1>
            <xm:f>'Measure Data'!$D$192:$D$196</xm:f>
          </x14:formula1>
          <xm:sqref>D12:E16</xm:sqref>
        </x14:dataValidation>
        <x14:dataValidation type="list" allowBlank="1" showInputMessage="1" showErrorMessage="1" error="Please select from the drop-down list. (click on the cell, then click on the downward triangle to the right of the cell)" xr:uid="{00000000-0002-0000-0F00-000003000000}">
          <x14:formula1>
            <xm:f>'Measure Data'!$D$200:$D$201</xm:f>
          </x14:formula1>
          <xm:sqref>C22:D25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autoPageBreaks="0" fitToPage="1"/>
  </sheetPr>
  <dimension ref="A2:I16"/>
  <sheetViews>
    <sheetView showGridLines="0" showRowColHeaders="0" zoomScale="90" zoomScaleNormal="90" workbookViewId="0">
      <selection activeCell="B2" sqref="B2:I2"/>
    </sheetView>
  </sheetViews>
  <sheetFormatPr defaultRowHeight="14.5" x14ac:dyDescent="0.35"/>
  <cols>
    <col min="1" max="1" width="6.54296875" customWidth="1"/>
    <col min="2" max="2" width="15" customWidth="1"/>
    <col min="3" max="7" width="13.1796875" customWidth="1"/>
    <col min="8" max="8" width="18.1796875" customWidth="1"/>
    <col min="9" max="9" width="13.1796875" customWidth="1"/>
  </cols>
  <sheetData>
    <row r="2" spans="1:9" ht="21" x14ac:dyDescent="0.35">
      <c r="B2" s="741" t="s">
        <v>920</v>
      </c>
      <c r="C2" s="742"/>
      <c r="D2" s="742"/>
      <c r="E2" s="742"/>
      <c r="F2" s="742"/>
      <c r="G2" s="742"/>
      <c r="H2" s="742"/>
      <c r="I2" s="743"/>
    </row>
    <row r="3" spans="1:9" ht="22" customHeight="1" x14ac:dyDescent="0.35">
      <c r="B3" s="616" t="s">
        <v>912</v>
      </c>
      <c r="C3" s="617"/>
      <c r="D3" s="617"/>
      <c r="E3" s="617"/>
      <c r="F3" s="617"/>
      <c r="G3" s="617"/>
      <c r="H3" s="617"/>
      <c r="I3" s="618"/>
    </row>
    <row r="4" spans="1:9" ht="22" customHeight="1" x14ac:dyDescent="0.35">
      <c r="B4" s="619"/>
      <c r="C4" s="535"/>
      <c r="D4" s="535"/>
      <c r="E4" s="535"/>
      <c r="F4" s="535"/>
      <c r="G4" s="535"/>
      <c r="H4" s="535"/>
      <c r="I4" s="620"/>
    </row>
    <row r="5" spans="1:9" ht="22" customHeight="1" x14ac:dyDescent="0.35">
      <c r="B5" s="619"/>
      <c r="C5" s="535"/>
      <c r="D5" s="535"/>
      <c r="E5" s="535"/>
      <c r="F5" s="535"/>
      <c r="G5" s="535"/>
      <c r="H5" s="535"/>
      <c r="I5" s="620"/>
    </row>
    <row r="6" spans="1:9" ht="22" customHeight="1" x14ac:dyDescent="0.35">
      <c r="B6" s="619"/>
      <c r="C6" s="535"/>
      <c r="D6" s="535"/>
      <c r="E6" s="535"/>
      <c r="F6" s="535"/>
      <c r="G6" s="535"/>
      <c r="H6" s="535"/>
      <c r="I6" s="620"/>
    </row>
    <row r="7" spans="1:9" ht="23.5" customHeight="1" x14ac:dyDescent="0.35">
      <c r="B7" s="621"/>
      <c r="C7" s="622"/>
      <c r="D7" s="622"/>
      <c r="E7" s="622"/>
      <c r="F7" s="622"/>
      <c r="G7" s="622"/>
      <c r="H7" s="622"/>
      <c r="I7" s="623"/>
    </row>
    <row r="9" spans="1:9" ht="15.5" x14ac:dyDescent="0.35">
      <c r="B9" s="735" t="str">
        <f>'Measure Data'!B205</f>
        <v>Battery Chargers</v>
      </c>
      <c r="C9" s="725"/>
      <c r="D9" s="725"/>
      <c r="E9" s="725"/>
      <c r="F9" s="725"/>
      <c r="G9" s="725"/>
      <c r="H9" s="725"/>
      <c r="I9" s="726"/>
    </row>
    <row r="10" spans="1:9" ht="65.150000000000006" customHeight="1" x14ac:dyDescent="0.35">
      <c r="A10" s="5"/>
      <c r="B10" s="730" t="s">
        <v>1007</v>
      </c>
      <c r="C10" s="731"/>
      <c r="D10" s="731"/>
      <c r="E10" s="731"/>
      <c r="F10" s="731"/>
      <c r="G10" s="731"/>
      <c r="H10" s="731"/>
      <c r="I10" s="732"/>
    </row>
    <row r="11" spans="1:9" ht="26" x14ac:dyDescent="0.35">
      <c r="A11" s="5"/>
      <c r="B11" s="279" t="s">
        <v>853</v>
      </c>
      <c r="C11" s="708" t="s">
        <v>852</v>
      </c>
      <c r="D11" s="709"/>
      <c r="E11" s="738"/>
      <c r="F11" s="740"/>
      <c r="G11" s="279" t="s">
        <v>62</v>
      </c>
      <c r="H11" s="279" t="s">
        <v>64</v>
      </c>
      <c r="I11" s="279" t="s">
        <v>65</v>
      </c>
    </row>
    <row r="12" spans="1:9" ht="26.5" customHeight="1" x14ac:dyDescent="0.35">
      <c r="B12" s="303"/>
      <c r="C12" s="798"/>
      <c r="D12" s="799"/>
      <c r="E12" s="738"/>
      <c r="F12" s="740"/>
      <c r="G12" s="15" t="str">
        <f>IF(ISBLANK(C12),"",'Measure Data'!B$207)</f>
        <v/>
      </c>
      <c r="H12" s="12" t="str">
        <f>IFERROR("$" &amp; VLOOKUP(G12,'Measure Data'!B:J,IF(isPublic,8,9),FALSE) &amp; "/" &amp; VLOOKUP(G12,'Measure Data'!B:K,10,FALSE),"")</f>
        <v/>
      </c>
      <c r="I12" s="14" t="str">
        <f>IFERROR( VLOOKUP(G12,'Measure Data'!B:J,IF(isPublic,8,9),FALSE)*B12,"")</f>
        <v/>
      </c>
    </row>
    <row r="13" spans="1:9" ht="26.5" customHeight="1" x14ac:dyDescent="0.35">
      <c r="B13" s="303"/>
      <c r="C13" s="798"/>
      <c r="D13" s="799"/>
      <c r="E13" s="738"/>
      <c r="F13" s="740"/>
      <c r="G13" s="15" t="str">
        <f>IF(ISBLANK(C13),"",'Measure Data'!B$207)</f>
        <v/>
      </c>
      <c r="H13" s="12" t="str">
        <f>IFERROR("$" &amp; VLOOKUP(G13,'Measure Data'!B:J,IF(isPublic,8,9),FALSE) &amp; "/" &amp; VLOOKUP(G13,'Measure Data'!B:K,10,FALSE),"")</f>
        <v/>
      </c>
      <c r="I13" s="14" t="str">
        <f>IFERROR( VLOOKUP(G13,'Measure Data'!B:J,IF(isPublic,8,9),FALSE)*B13,"")</f>
        <v/>
      </c>
    </row>
    <row r="14" spans="1:9" ht="26.5" customHeight="1" x14ac:dyDescent="0.35">
      <c r="B14" s="303"/>
      <c r="C14" s="798"/>
      <c r="D14" s="799"/>
      <c r="E14" s="738"/>
      <c r="F14" s="740"/>
      <c r="G14" s="15" t="str">
        <f>IF(ISBLANK(C14),"",'Measure Data'!B$207)</f>
        <v/>
      </c>
      <c r="H14" s="12" t="str">
        <f>IFERROR("$" &amp; VLOOKUP(G14,'Measure Data'!B:J,IF(isPublic,8,9),FALSE) &amp; "/" &amp; VLOOKUP(G14,'Measure Data'!B:K,10,FALSE),"")</f>
        <v/>
      </c>
      <c r="I14" s="14" t="str">
        <f>IFERROR( VLOOKUP(G14,'Measure Data'!B:J,IF(isPublic,8,9),FALSE)*B14,"")</f>
        <v/>
      </c>
    </row>
    <row r="15" spans="1:9" ht="26.5" customHeight="1" x14ac:dyDescent="0.35">
      <c r="B15" s="303"/>
      <c r="C15" s="798"/>
      <c r="D15" s="799"/>
      <c r="E15" s="738"/>
      <c r="F15" s="740"/>
      <c r="G15" s="15" t="str">
        <f>IF(ISBLANK(C15),"",'Measure Data'!B$207)</f>
        <v/>
      </c>
      <c r="H15" s="12" t="str">
        <f>IFERROR("$" &amp; VLOOKUP(G15,'Measure Data'!B:J,IF(isPublic,8,9),FALSE) &amp; "/" &amp; VLOOKUP(G15,'Measure Data'!B:K,10,FALSE),"")</f>
        <v/>
      </c>
      <c r="I15" s="14" t="str">
        <f>IFERROR( VLOOKUP(G15,'Measure Data'!B:J,IF(isPublic,8,9),FALSE)*B15,"")</f>
        <v/>
      </c>
    </row>
    <row r="16" spans="1:9" ht="22.5" customHeight="1" x14ac:dyDescent="0.35"/>
  </sheetData>
  <mergeCells count="14">
    <mergeCell ref="C15:D15"/>
    <mergeCell ref="E15:F15"/>
    <mergeCell ref="B3:I7"/>
    <mergeCell ref="B2:I2"/>
    <mergeCell ref="C13:D13"/>
    <mergeCell ref="E13:F13"/>
    <mergeCell ref="C14:D14"/>
    <mergeCell ref="E14:F14"/>
    <mergeCell ref="C12:D12"/>
    <mergeCell ref="E12:F12"/>
    <mergeCell ref="B9:I9"/>
    <mergeCell ref="B10:I10"/>
    <mergeCell ref="C11:D11"/>
    <mergeCell ref="E11:F11"/>
  </mergeCells>
  <pageMargins left="0.25" right="0.25" top="0.75" bottom="0.75" header="0.3" footer="0.3"/>
  <pageSetup fitToHeight="0"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Please select from the drop-down list. (click on the cell, then click on the downward triangle to the right of the cell)" xr:uid="{00000000-0002-0000-1000-000000000000}">
          <x14:formula1>
            <xm:f>'Measure Data'!$D$207:$D$210</xm:f>
          </x14:formula1>
          <xm:sqref>C12:D15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theme="1" tint="0.499984740745262"/>
    <pageSetUpPr autoPageBreaks="0"/>
  </sheetPr>
  <dimension ref="A2:M210"/>
  <sheetViews>
    <sheetView zoomScale="90" zoomScaleNormal="90" workbookViewId="0"/>
  </sheetViews>
  <sheetFormatPr defaultRowHeight="14.5" x14ac:dyDescent="0.35"/>
  <cols>
    <col min="2" max="2" width="11.81640625" customWidth="1"/>
    <col min="3" max="3" width="53.453125" customWidth="1"/>
    <col min="4" max="4" width="12.26953125" customWidth="1"/>
    <col min="5" max="5" width="14.26953125" bestFit="1" customWidth="1"/>
    <col min="6" max="6" width="15.1796875" style="3" customWidth="1"/>
    <col min="7" max="7" width="11.453125" style="3" customWidth="1"/>
    <col min="8" max="8" width="12.54296875" style="3" customWidth="1"/>
    <col min="9" max="9" width="12" style="3" customWidth="1"/>
    <col min="10" max="10" width="12" customWidth="1"/>
    <col min="11" max="11" width="10.81640625" customWidth="1"/>
    <col min="12" max="12" width="3.81640625" customWidth="1"/>
  </cols>
  <sheetData>
    <row r="2" spans="2:13" ht="15.5" x14ac:dyDescent="0.35">
      <c r="B2" s="5" t="s">
        <v>90</v>
      </c>
      <c r="C2" s="5"/>
    </row>
    <row r="3" spans="2:13" s="43" customFormat="1" ht="26" x14ac:dyDescent="0.35">
      <c r="B3" s="41" t="s">
        <v>62</v>
      </c>
      <c r="C3" s="41" t="s">
        <v>68</v>
      </c>
      <c r="D3" s="44" t="s">
        <v>91</v>
      </c>
      <c r="E3" s="42" t="s">
        <v>92</v>
      </c>
      <c r="F3" s="44" t="s">
        <v>93</v>
      </c>
      <c r="G3" s="44"/>
      <c r="H3" s="44"/>
      <c r="I3" s="44" t="s">
        <v>582</v>
      </c>
      <c r="J3" s="42" t="s">
        <v>583</v>
      </c>
      <c r="K3" s="42" t="s">
        <v>74</v>
      </c>
    </row>
    <row r="4" spans="2:13" s="43" customFormat="1" x14ac:dyDescent="0.3">
      <c r="B4" s="9" t="s">
        <v>862</v>
      </c>
      <c r="C4" s="130" t="s">
        <v>862</v>
      </c>
      <c r="D4" s="277">
        <v>0</v>
      </c>
      <c r="E4" s="277">
        <v>40</v>
      </c>
      <c r="F4" s="44"/>
      <c r="G4" s="44"/>
      <c r="H4" s="44"/>
      <c r="I4" s="44"/>
      <c r="J4" s="42"/>
      <c r="K4" s="42"/>
    </row>
    <row r="5" spans="2:13" x14ac:dyDescent="0.35">
      <c r="B5" s="9" t="s">
        <v>89</v>
      </c>
      <c r="C5" s="39" t="s">
        <v>864</v>
      </c>
      <c r="D5" s="277">
        <v>40</v>
      </c>
      <c r="E5" s="277">
        <v>140</v>
      </c>
      <c r="F5" s="48">
        <v>0.94</v>
      </c>
      <c r="G5" s="47"/>
      <c r="H5" s="47"/>
      <c r="I5" s="13">
        <v>800</v>
      </c>
      <c r="J5" s="13">
        <v>400</v>
      </c>
      <c r="K5" s="6" t="s">
        <v>76</v>
      </c>
      <c r="M5" s="6" t="s">
        <v>541</v>
      </c>
    </row>
    <row r="6" spans="2:13" x14ac:dyDescent="0.35">
      <c r="B6" s="9" t="s">
        <v>89</v>
      </c>
      <c r="C6" s="39" t="s">
        <v>865</v>
      </c>
      <c r="D6" s="277">
        <v>141</v>
      </c>
      <c r="E6" s="277">
        <v>225</v>
      </c>
      <c r="F6" s="48">
        <v>0.94</v>
      </c>
      <c r="G6" s="47"/>
      <c r="H6" s="47"/>
      <c r="I6" s="13">
        <v>900</v>
      </c>
      <c r="J6" s="13">
        <v>500</v>
      </c>
      <c r="K6" s="6" t="s">
        <v>76</v>
      </c>
      <c r="M6" s="6" t="s">
        <v>866</v>
      </c>
    </row>
    <row r="7" spans="2:13" x14ac:dyDescent="0.35">
      <c r="B7" s="9" t="s">
        <v>862</v>
      </c>
      <c r="C7" s="130" t="s">
        <v>862</v>
      </c>
      <c r="D7" s="6">
        <v>226</v>
      </c>
      <c r="E7" s="292" t="s">
        <v>863</v>
      </c>
    </row>
    <row r="8" spans="2:13" x14ac:dyDescent="0.35">
      <c r="B8" s="9"/>
      <c r="C8" s="130"/>
      <c r="D8" s="6"/>
      <c r="E8" s="292"/>
    </row>
    <row r="10" spans="2:13" ht="15.5" x14ac:dyDescent="0.35">
      <c r="B10" s="5" t="s">
        <v>98</v>
      </c>
      <c r="C10" s="5"/>
    </row>
    <row r="11" spans="2:13" s="43" customFormat="1" ht="26" x14ac:dyDescent="0.3">
      <c r="B11" s="41" t="s">
        <v>62</v>
      </c>
      <c r="C11" s="41" t="s">
        <v>68</v>
      </c>
      <c r="D11" s="44"/>
      <c r="E11" s="42"/>
      <c r="F11" s="44" t="s">
        <v>116</v>
      </c>
      <c r="G11" s="44"/>
      <c r="H11" s="44"/>
      <c r="I11" s="44" t="s">
        <v>582</v>
      </c>
      <c r="J11" s="42" t="s">
        <v>583</v>
      </c>
      <c r="K11" s="42" t="s">
        <v>74</v>
      </c>
      <c r="M11" s="6" t="s">
        <v>99</v>
      </c>
    </row>
    <row r="12" spans="2:13" x14ac:dyDescent="0.35">
      <c r="B12" s="9" t="s">
        <v>6</v>
      </c>
      <c r="C12" s="39" t="s">
        <v>867</v>
      </c>
      <c r="D12" s="8"/>
      <c r="E12" s="8"/>
      <c r="F12" s="48">
        <v>0.9</v>
      </c>
      <c r="G12" s="47"/>
      <c r="H12" s="47"/>
      <c r="I12" s="452">
        <v>4.5</v>
      </c>
      <c r="J12" s="13">
        <v>3</v>
      </c>
      <c r="K12" s="6" t="s">
        <v>103</v>
      </c>
      <c r="M12" s="6" t="s">
        <v>100</v>
      </c>
    </row>
    <row r="13" spans="2:13" x14ac:dyDescent="0.35">
      <c r="B13" s="9"/>
      <c r="C13" s="39"/>
      <c r="D13" s="8"/>
      <c r="E13" s="8"/>
      <c r="F13" s="48"/>
      <c r="G13" s="47"/>
      <c r="H13" s="47"/>
      <c r="I13" s="47"/>
      <c r="J13" s="13"/>
      <c r="K13" s="6"/>
      <c r="M13" s="6" t="s">
        <v>101</v>
      </c>
    </row>
    <row r="14" spans="2:13" x14ac:dyDescent="0.35">
      <c r="M14" s="6" t="s">
        <v>102</v>
      </c>
    </row>
    <row r="15" spans="2:13" ht="15.5" x14ac:dyDescent="0.35">
      <c r="B15" s="5" t="s">
        <v>109</v>
      </c>
      <c r="C15" s="5"/>
    </row>
    <row r="16" spans="2:13" s="43" customFormat="1" ht="26" x14ac:dyDescent="0.3">
      <c r="B16" s="41" t="s">
        <v>62</v>
      </c>
      <c r="C16" s="41" t="s">
        <v>68</v>
      </c>
      <c r="D16" s="44" t="s">
        <v>113</v>
      </c>
      <c r="E16" s="44" t="s">
        <v>114</v>
      </c>
      <c r="F16" s="42" t="s">
        <v>115</v>
      </c>
      <c r="G16" s="44"/>
      <c r="H16" s="44"/>
      <c r="I16" s="44" t="s">
        <v>582</v>
      </c>
      <c r="J16" s="42" t="s">
        <v>583</v>
      </c>
      <c r="K16" s="42" t="s">
        <v>74</v>
      </c>
      <c r="M16" s="6"/>
    </row>
    <row r="17" spans="2:13" x14ac:dyDescent="0.35">
      <c r="B17" s="9" t="s">
        <v>7</v>
      </c>
      <c r="C17" s="39" t="s">
        <v>869</v>
      </c>
      <c r="D17" s="54">
        <v>0.92</v>
      </c>
      <c r="E17" s="55">
        <v>150</v>
      </c>
      <c r="F17" s="56">
        <v>140</v>
      </c>
      <c r="G17" s="47"/>
      <c r="H17" s="47"/>
      <c r="I17" s="451">
        <v>6</v>
      </c>
      <c r="J17" s="13">
        <v>6</v>
      </c>
      <c r="K17" s="6" t="s">
        <v>103</v>
      </c>
      <c r="M17" s="6"/>
    </row>
    <row r="18" spans="2:13" x14ac:dyDescent="0.35">
      <c r="B18" s="9"/>
      <c r="C18" s="39"/>
      <c r="D18" s="8"/>
      <c r="E18" s="8"/>
      <c r="F18" s="48"/>
      <c r="G18" s="47"/>
      <c r="H18" s="47"/>
      <c r="I18" s="47"/>
      <c r="J18" s="13"/>
      <c r="K18" s="6"/>
      <c r="M18" s="6"/>
    </row>
    <row r="19" spans="2:13" x14ac:dyDescent="0.35">
      <c r="M19" s="6"/>
    </row>
    <row r="20" spans="2:13" ht="15.5" x14ac:dyDescent="0.35">
      <c r="B20" s="5" t="s">
        <v>112</v>
      </c>
      <c r="C20" s="5"/>
    </row>
    <row r="21" spans="2:13" s="43" customFormat="1" ht="26" x14ac:dyDescent="0.3">
      <c r="B21" s="41" t="s">
        <v>62</v>
      </c>
      <c r="C21" s="41" t="s">
        <v>68</v>
      </c>
      <c r="D21" s="44" t="s">
        <v>91</v>
      </c>
      <c r="E21" s="42" t="s">
        <v>92</v>
      </c>
      <c r="F21" s="44"/>
      <c r="G21" s="44"/>
      <c r="H21" s="44"/>
      <c r="I21" s="44" t="s">
        <v>582</v>
      </c>
      <c r="J21" s="42" t="s">
        <v>583</v>
      </c>
      <c r="K21" s="42" t="s">
        <v>74</v>
      </c>
      <c r="M21" s="6"/>
    </row>
    <row r="22" spans="2:13" x14ac:dyDescent="0.35">
      <c r="B22" s="9" t="s">
        <v>8</v>
      </c>
      <c r="C22" s="39" t="s">
        <v>870</v>
      </c>
      <c r="D22" s="7">
        <v>20</v>
      </c>
      <c r="E22" s="7">
        <v>250</v>
      </c>
      <c r="F22" s="48"/>
      <c r="G22" s="47"/>
      <c r="H22" s="47"/>
      <c r="I22" s="453">
        <v>500</v>
      </c>
      <c r="J22" s="13">
        <v>250</v>
      </c>
      <c r="K22" s="6" t="s">
        <v>76</v>
      </c>
      <c r="M22" s="6"/>
    </row>
    <row r="25" spans="2:13" ht="15.5" x14ac:dyDescent="0.35">
      <c r="B25" s="5" t="s">
        <v>195</v>
      </c>
    </row>
    <row r="26" spans="2:13" s="43" customFormat="1" ht="26" x14ac:dyDescent="0.3">
      <c r="B26" s="41" t="s">
        <v>62</v>
      </c>
      <c r="C26" s="41" t="s">
        <v>68</v>
      </c>
      <c r="D26" s="44" t="s">
        <v>91</v>
      </c>
      <c r="E26" s="42" t="s">
        <v>92</v>
      </c>
      <c r="F26" s="44"/>
      <c r="G26" s="44"/>
      <c r="H26" s="44"/>
      <c r="I26" s="44" t="s">
        <v>582</v>
      </c>
      <c r="J26" s="42" t="s">
        <v>583</v>
      </c>
      <c r="K26" s="42" t="s">
        <v>74</v>
      </c>
      <c r="M26" s="6" t="s">
        <v>596</v>
      </c>
    </row>
    <row r="27" spans="2:13" x14ac:dyDescent="0.35">
      <c r="B27" s="9" t="s">
        <v>9</v>
      </c>
      <c r="C27" s="39" t="s">
        <v>871</v>
      </c>
      <c r="D27" s="7">
        <v>1</v>
      </c>
      <c r="E27" s="7">
        <v>299</v>
      </c>
      <c r="F27" s="48"/>
      <c r="G27" s="47"/>
      <c r="H27" s="47"/>
      <c r="I27" s="453">
        <v>1125</v>
      </c>
      <c r="J27" s="13">
        <v>1000</v>
      </c>
      <c r="K27" s="6" t="s">
        <v>76</v>
      </c>
      <c r="M27" t="s">
        <v>594</v>
      </c>
    </row>
    <row r="28" spans="2:13" x14ac:dyDescent="0.35">
      <c r="B28" s="9" t="s">
        <v>9</v>
      </c>
      <c r="C28" s="39" t="s">
        <v>872</v>
      </c>
      <c r="D28" s="7">
        <v>300</v>
      </c>
      <c r="E28" s="7">
        <v>499</v>
      </c>
      <c r="F28" s="48"/>
      <c r="G28" s="47"/>
      <c r="H28" s="47"/>
      <c r="I28" s="453">
        <v>1900</v>
      </c>
      <c r="J28" s="13">
        <v>1400</v>
      </c>
      <c r="K28" s="6" t="s">
        <v>76</v>
      </c>
      <c r="M28" t="s">
        <v>595</v>
      </c>
    </row>
    <row r="29" spans="2:13" x14ac:dyDescent="0.35">
      <c r="B29" s="9" t="s">
        <v>9</v>
      </c>
      <c r="C29" s="39" t="s">
        <v>873</v>
      </c>
      <c r="D29" s="7">
        <v>500</v>
      </c>
      <c r="E29" s="7">
        <v>999</v>
      </c>
      <c r="F29" s="48"/>
      <c r="G29" s="47"/>
      <c r="H29" s="47"/>
      <c r="I29" s="453">
        <v>3100</v>
      </c>
      <c r="J29" s="13">
        <v>2700</v>
      </c>
      <c r="K29" s="6" t="s">
        <v>76</v>
      </c>
    </row>
    <row r="30" spans="2:13" x14ac:dyDescent="0.35">
      <c r="B30" s="9" t="s">
        <v>9</v>
      </c>
      <c r="C30" s="39" t="s">
        <v>874</v>
      </c>
      <c r="D30" s="7">
        <v>1000</v>
      </c>
      <c r="E30" s="7">
        <v>1699</v>
      </c>
      <c r="F30" s="48"/>
      <c r="G30" s="47"/>
      <c r="H30" s="47"/>
      <c r="I30" s="453">
        <v>5650</v>
      </c>
      <c r="J30" s="13">
        <v>4800</v>
      </c>
      <c r="K30" s="6" t="s">
        <v>76</v>
      </c>
    </row>
    <row r="31" spans="2:13" x14ac:dyDescent="0.35">
      <c r="B31" s="9" t="s">
        <v>9</v>
      </c>
      <c r="C31" s="39" t="s">
        <v>1120</v>
      </c>
      <c r="D31" s="7">
        <v>1700</v>
      </c>
      <c r="E31" s="8">
        <v>999999999.99899995</v>
      </c>
      <c r="F31" s="48"/>
      <c r="G31" s="47"/>
      <c r="H31" s="47"/>
      <c r="I31" s="453">
        <v>7750</v>
      </c>
      <c r="J31" s="13">
        <v>6500</v>
      </c>
      <c r="K31" s="6" t="s">
        <v>76</v>
      </c>
    </row>
    <row r="32" spans="2:13" x14ac:dyDescent="0.35">
      <c r="B32" s="9"/>
      <c r="C32" s="294"/>
      <c r="D32" s="7"/>
      <c r="E32" s="292"/>
    </row>
    <row r="35" spans="1:11" ht="15.5" x14ac:dyDescent="0.35">
      <c r="B35" s="5" t="s">
        <v>66</v>
      </c>
      <c r="C35" s="5"/>
    </row>
    <row r="36" spans="1:11" s="42" customFormat="1" ht="26" x14ac:dyDescent="0.35">
      <c r="B36" s="41" t="s">
        <v>62</v>
      </c>
      <c r="C36" s="41" t="s">
        <v>68</v>
      </c>
      <c r="D36" s="42" t="s">
        <v>82</v>
      </c>
      <c r="E36" s="42" t="s">
        <v>81</v>
      </c>
      <c r="F36" s="42" t="s">
        <v>72</v>
      </c>
      <c r="G36" s="42" t="s">
        <v>71</v>
      </c>
      <c r="H36" s="42" t="s">
        <v>73</v>
      </c>
      <c r="I36" s="44" t="s">
        <v>582</v>
      </c>
      <c r="J36" s="42" t="s">
        <v>583</v>
      </c>
      <c r="K36" s="42" t="s">
        <v>74</v>
      </c>
    </row>
    <row r="37" spans="1:11" s="6" customFormat="1" ht="13" x14ac:dyDescent="0.3">
      <c r="B37" s="9" t="s">
        <v>0</v>
      </c>
      <c r="C37" s="39" t="s">
        <v>856</v>
      </c>
      <c r="D37" s="8">
        <v>135</v>
      </c>
      <c r="E37" s="8">
        <v>239.999</v>
      </c>
      <c r="F37" s="9"/>
      <c r="G37" s="9">
        <v>12.1</v>
      </c>
      <c r="H37" s="9">
        <v>13.2</v>
      </c>
      <c r="I37" s="13">
        <v>600</v>
      </c>
      <c r="J37" s="13">
        <v>600</v>
      </c>
      <c r="K37" s="6" t="s">
        <v>76</v>
      </c>
    </row>
    <row r="38" spans="1:11" s="6" customFormat="1" ht="13" x14ac:dyDescent="0.3">
      <c r="B38" s="9" t="s">
        <v>1</v>
      </c>
      <c r="C38" s="39" t="s">
        <v>857</v>
      </c>
      <c r="D38" s="8">
        <v>240</v>
      </c>
      <c r="E38" s="8">
        <v>759.99900000000002</v>
      </c>
      <c r="F38" s="9"/>
      <c r="G38" s="9">
        <v>10.8</v>
      </c>
      <c r="H38" s="9">
        <v>12.3</v>
      </c>
      <c r="I38" s="13">
        <v>900</v>
      </c>
      <c r="J38" s="13">
        <v>900</v>
      </c>
      <c r="K38" s="6" t="s">
        <v>76</v>
      </c>
    </row>
    <row r="39" spans="1:11" s="6" customFormat="1" ht="13" x14ac:dyDescent="0.3">
      <c r="B39" s="9" t="s">
        <v>2</v>
      </c>
      <c r="C39" s="39" t="s">
        <v>858</v>
      </c>
      <c r="D39" s="8">
        <v>760</v>
      </c>
      <c r="E39" s="8">
        <v>999999999.99899995</v>
      </c>
      <c r="F39" s="9"/>
      <c r="G39" s="9">
        <v>10.3</v>
      </c>
      <c r="H39" s="9">
        <v>11.5</v>
      </c>
      <c r="I39" s="13">
        <v>1600</v>
      </c>
      <c r="J39" s="13">
        <v>1600</v>
      </c>
      <c r="K39" s="6" t="s">
        <v>76</v>
      </c>
    </row>
    <row r="42" spans="1:11" ht="15.5" x14ac:dyDescent="0.35">
      <c r="B42" s="5" t="s">
        <v>69</v>
      </c>
      <c r="C42" s="5"/>
    </row>
    <row r="43" spans="1:11" s="43" customFormat="1" ht="26" x14ac:dyDescent="0.35">
      <c r="B43" s="41" t="s">
        <v>62</v>
      </c>
      <c r="C43" s="41" t="s">
        <v>68</v>
      </c>
      <c r="D43" s="42" t="s">
        <v>79</v>
      </c>
      <c r="E43" s="42" t="s">
        <v>80</v>
      </c>
      <c r="F43" s="42" t="s">
        <v>71</v>
      </c>
      <c r="G43" s="42" t="s">
        <v>1075</v>
      </c>
      <c r="H43" s="42" t="s">
        <v>70</v>
      </c>
      <c r="I43" s="44" t="s">
        <v>582</v>
      </c>
      <c r="J43" s="42" t="s">
        <v>583</v>
      </c>
      <c r="K43" s="42" t="s">
        <v>74</v>
      </c>
    </row>
    <row r="44" spans="1:11" x14ac:dyDescent="0.35">
      <c r="B44" s="9" t="s">
        <v>3</v>
      </c>
      <c r="C44" s="39" t="s">
        <v>859</v>
      </c>
      <c r="D44" s="8">
        <v>0</v>
      </c>
      <c r="E44" s="8">
        <v>149.999</v>
      </c>
      <c r="F44" s="9">
        <v>10.1</v>
      </c>
      <c r="G44" s="9">
        <v>13.7</v>
      </c>
      <c r="H44" s="9">
        <v>0.876</v>
      </c>
      <c r="I44" s="13">
        <v>3000</v>
      </c>
      <c r="J44" s="13">
        <v>3000</v>
      </c>
      <c r="K44" s="6" t="s">
        <v>76</v>
      </c>
    </row>
    <row r="45" spans="1:11" x14ac:dyDescent="0.35">
      <c r="B45" s="9" t="s">
        <v>4</v>
      </c>
      <c r="C45" s="39" t="s">
        <v>860</v>
      </c>
      <c r="D45" s="8">
        <v>150</v>
      </c>
      <c r="E45" s="7">
        <v>999999999999</v>
      </c>
      <c r="F45" s="9">
        <v>10.1</v>
      </c>
      <c r="G45" s="9">
        <v>14</v>
      </c>
      <c r="H45" s="9">
        <v>0.84499999999999997</v>
      </c>
      <c r="I45" s="13">
        <v>3000</v>
      </c>
      <c r="J45" s="13">
        <v>3000</v>
      </c>
      <c r="K45" s="6" t="s">
        <v>76</v>
      </c>
    </row>
    <row r="47" spans="1:11" x14ac:dyDescent="0.35">
      <c r="A47" s="16"/>
      <c r="B47" s="16"/>
    </row>
    <row r="48" spans="1:11" x14ac:dyDescent="0.35">
      <c r="A48" s="16"/>
      <c r="B48" s="272" t="s">
        <v>75</v>
      </c>
    </row>
    <row r="49" spans="2:13" s="43" customFormat="1" ht="26" x14ac:dyDescent="0.35">
      <c r="B49" s="41" t="s">
        <v>62</v>
      </c>
      <c r="C49" s="41" t="s">
        <v>68</v>
      </c>
      <c r="D49" s="44" t="s">
        <v>82</v>
      </c>
      <c r="E49" s="42" t="s">
        <v>81</v>
      </c>
      <c r="F49" s="42" t="s">
        <v>71</v>
      </c>
      <c r="G49" s="42" t="s">
        <v>72</v>
      </c>
      <c r="H49" s="44"/>
      <c r="I49" s="44" t="s">
        <v>582</v>
      </c>
      <c r="J49" s="42" t="s">
        <v>583</v>
      </c>
      <c r="K49" s="42" t="s">
        <v>74</v>
      </c>
    </row>
    <row r="50" spans="2:13" x14ac:dyDescent="0.35">
      <c r="B50" s="9" t="s">
        <v>5</v>
      </c>
      <c r="C50" s="39" t="s">
        <v>861</v>
      </c>
      <c r="D50" s="46">
        <v>0</v>
      </c>
      <c r="E50" s="45">
        <v>65</v>
      </c>
      <c r="F50" s="9">
        <v>13</v>
      </c>
      <c r="G50" s="9">
        <v>16.420000000000002</v>
      </c>
      <c r="H50" s="44"/>
      <c r="I50" s="13">
        <v>35</v>
      </c>
      <c r="J50" s="13">
        <v>35</v>
      </c>
      <c r="K50" s="6" t="s">
        <v>76</v>
      </c>
    </row>
    <row r="51" spans="2:13" x14ac:dyDescent="0.35">
      <c r="B51" s="9"/>
      <c r="C51" s="39"/>
      <c r="D51" s="46"/>
      <c r="E51" s="45"/>
      <c r="F51" s="9"/>
      <c r="G51" s="9"/>
      <c r="H51" s="44"/>
      <c r="I51" s="44"/>
      <c r="J51" s="13"/>
      <c r="K51" s="6"/>
    </row>
    <row r="53" spans="2:13" ht="15.5" x14ac:dyDescent="0.35">
      <c r="B53" s="5" t="s">
        <v>707</v>
      </c>
    </row>
    <row r="54" spans="2:13" s="43" customFormat="1" ht="26" x14ac:dyDescent="0.3">
      <c r="B54" s="41" t="s">
        <v>62</v>
      </c>
      <c r="C54" s="41" t="s">
        <v>68</v>
      </c>
      <c r="D54" s="44"/>
      <c r="E54" s="42"/>
      <c r="F54" s="44"/>
      <c r="G54" s="44"/>
      <c r="H54" s="44"/>
      <c r="I54" s="44" t="s">
        <v>582</v>
      </c>
      <c r="J54" s="42" t="s">
        <v>583</v>
      </c>
      <c r="K54" s="42" t="s">
        <v>74</v>
      </c>
      <c r="M54" s="6"/>
    </row>
    <row r="55" spans="2:13" x14ac:dyDescent="0.35">
      <c r="B55" s="9" t="s">
        <v>10</v>
      </c>
      <c r="C55" s="39" t="s">
        <v>855</v>
      </c>
      <c r="D55" s="8"/>
      <c r="E55" s="8"/>
      <c r="F55" s="48"/>
      <c r="G55" s="47"/>
      <c r="H55" s="47"/>
      <c r="I55" s="13">
        <v>50</v>
      </c>
      <c r="J55" s="13">
        <v>50</v>
      </c>
      <c r="K55" s="6" t="s">
        <v>500</v>
      </c>
      <c r="M55" s="6"/>
    </row>
    <row r="56" spans="2:13" x14ac:dyDescent="0.35">
      <c r="B56" s="9"/>
      <c r="C56" s="39"/>
      <c r="D56" s="8"/>
      <c r="E56" s="8"/>
      <c r="F56" s="48"/>
      <c r="G56" s="47"/>
      <c r="H56" s="47"/>
      <c r="I56" s="47"/>
      <c r="J56" s="13"/>
      <c r="K56" s="6"/>
      <c r="M56" s="6"/>
    </row>
    <row r="57" spans="2:13" x14ac:dyDescent="0.35">
      <c r="B57" s="9"/>
      <c r="C57" s="39"/>
      <c r="D57" s="8"/>
      <c r="E57" s="8"/>
      <c r="F57" s="48"/>
      <c r="G57" s="47"/>
      <c r="H57" s="47"/>
      <c r="I57" s="47"/>
      <c r="J57" s="13"/>
      <c r="K57" s="6"/>
      <c r="M57" s="6"/>
    </row>
    <row r="58" spans="2:13" ht="15.5" x14ac:dyDescent="0.35">
      <c r="B58" s="5" t="s">
        <v>709</v>
      </c>
    </row>
    <row r="59" spans="2:13" s="43" customFormat="1" ht="26" x14ac:dyDescent="0.3">
      <c r="B59" s="41" t="s">
        <v>62</v>
      </c>
      <c r="C59" s="41" t="s">
        <v>68</v>
      </c>
      <c r="D59" s="44" t="s">
        <v>501</v>
      </c>
      <c r="E59" s="42" t="s">
        <v>502</v>
      </c>
      <c r="F59" s="262" t="s">
        <v>708</v>
      </c>
      <c r="G59" s="44"/>
      <c r="H59" s="44"/>
      <c r="I59" s="44" t="s">
        <v>582</v>
      </c>
      <c r="J59" s="42" t="s">
        <v>583</v>
      </c>
      <c r="K59" s="42" t="s">
        <v>74</v>
      </c>
      <c r="M59" s="6"/>
    </row>
    <row r="60" spans="2:13" x14ac:dyDescent="0.35">
      <c r="B60" s="9" t="s">
        <v>12</v>
      </c>
      <c r="C60" s="39" t="s">
        <v>877</v>
      </c>
      <c r="D60" s="8">
        <v>5</v>
      </c>
      <c r="E60" s="289">
        <v>9.99</v>
      </c>
      <c r="F60" s="130" t="str">
        <f>"from "&amp;D60&amp;" to "&amp;E60&amp;" input GPM"</f>
        <v>from 5 to 9.99 input GPM</v>
      </c>
      <c r="I60" s="13">
        <v>500</v>
      </c>
      <c r="J60" s="13">
        <v>500</v>
      </c>
      <c r="K60" s="39" t="s">
        <v>876</v>
      </c>
    </row>
    <row r="61" spans="2:13" x14ac:dyDescent="0.35">
      <c r="B61" s="9" t="s">
        <v>12</v>
      </c>
      <c r="C61" s="39" t="s">
        <v>877</v>
      </c>
      <c r="D61" s="8">
        <v>10</v>
      </c>
      <c r="E61" s="289">
        <v>14.99</v>
      </c>
      <c r="F61" s="130" t="str">
        <f>"from "&amp;D61&amp;" to "&amp;E61&amp;" input GPM"</f>
        <v>from 10 to 14.99 input GPM</v>
      </c>
      <c r="I61" s="13">
        <v>500</v>
      </c>
      <c r="J61" s="13">
        <v>500</v>
      </c>
      <c r="K61" s="39" t="s">
        <v>876</v>
      </c>
    </row>
    <row r="62" spans="2:13" x14ac:dyDescent="0.35">
      <c r="B62" s="9" t="s">
        <v>12</v>
      </c>
      <c r="C62" s="39" t="s">
        <v>877</v>
      </c>
      <c r="D62" s="8">
        <v>15</v>
      </c>
      <c r="E62" s="8"/>
      <c r="F62" s="130" t="str">
        <f>D62&amp;" GPM input or greater"</f>
        <v>15 GPM input or greater</v>
      </c>
      <c r="I62" s="13">
        <v>500</v>
      </c>
      <c r="J62" s="13">
        <v>500</v>
      </c>
      <c r="K62" s="39" t="s">
        <v>876</v>
      </c>
    </row>
    <row r="63" spans="2:13" x14ac:dyDescent="0.35">
      <c r="B63" s="9"/>
      <c r="C63" s="39"/>
      <c r="D63" s="8"/>
      <c r="E63" s="8"/>
      <c r="J63" s="13"/>
      <c r="K63" s="39"/>
    </row>
    <row r="65" spans="2:13" ht="15.5" x14ac:dyDescent="0.35">
      <c r="B65" s="5" t="s">
        <v>710</v>
      </c>
    </row>
    <row r="66" spans="2:13" s="43" customFormat="1" ht="26" x14ac:dyDescent="0.3">
      <c r="B66" s="41" t="s">
        <v>62</v>
      </c>
      <c r="C66" s="41" t="s">
        <v>68</v>
      </c>
      <c r="D66" s="44"/>
      <c r="E66" s="42"/>
      <c r="F66" s="262"/>
      <c r="G66" s="44"/>
      <c r="H66" s="44"/>
      <c r="I66" s="44" t="s">
        <v>582</v>
      </c>
      <c r="J66" s="42" t="s">
        <v>583</v>
      </c>
      <c r="K66" s="42" t="s">
        <v>74</v>
      </c>
      <c r="M66" s="6"/>
    </row>
    <row r="67" spans="2:13" x14ac:dyDescent="0.35">
      <c r="B67" s="9" t="s">
        <v>11</v>
      </c>
      <c r="C67" s="39" t="s">
        <v>878</v>
      </c>
      <c r="I67" s="453">
        <v>225</v>
      </c>
      <c r="J67" s="13">
        <v>150</v>
      </c>
      <c r="K67" s="39" t="s">
        <v>876</v>
      </c>
    </row>
    <row r="68" spans="2:13" ht="15.5" x14ac:dyDescent="0.35">
      <c r="B68" s="5"/>
    </row>
    <row r="69" spans="2:13" ht="15.5" x14ac:dyDescent="0.35">
      <c r="B69" s="5"/>
    </row>
    <row r="70" spans="2:13" ht="15.5" x14ac:dyDescent="0.35">
      <c r="B70" s="5" t="s">
        <v>624</v>
      </c>
    </row>
    <row r="71" spans="2:13" s="43" customFormat="1" ht="26" x14ac:dyDescent="0.3">
      <c r="B71" s="41" t="s">
        <v>62</v>
      </c>
      <c r="C71" s="41" t="s">
        <v>68</v>
      </c>
      <c r="D71" s="44"/>
      <c r="E71" s="44" t="s">
        <v>1095</v>
      </c>
      <c r="F71" s="42" t="s">
        <v>1096</v>
      </c>
      <c r="G71" s="44"/>
      <c r="H71" s="44"/>
      <c r="I71" s="44" t="s">
        <v>884</v>
      </c>
      <c r="J71" s="42" t="s">
        <v>583</v>
      </c>
      <c r="K71" s="42" t="s">
        <v>74</v>
      </c>
      <c r="M71" s="6"/>
    </row>
    <row r="72" spans="2:13" x14ac:dyDescent="0.35">
      <c r="B72" s="9" t="s">
        <v>618</v>
      </c>
      <c r="C72" s="130" t="s">
        <v>621</v>
      </c>
      <c r="E72" s="7">
        <v>3125000</v>
      </c>
      <c r="F72" s="131">
        <v>0.06</v>
      </c>
      <c r="I72" s="131">
        <v>0.24</v>
      </c>
      <c r="J72" s="131">
        <v>0.16</v>
      </c>
      <c r="K72" s="39" t="s">
        <v>495</v>
      </c>
    </row>
    <row r="73" spans="2:13" x14ac:dyDescent="0.35">
      <c r="B73" s="9" t="s">
        <v>619</v>
      </c>
      <c r="C73" s="130" t="s">
        <v>622</v>
      </c>
      <c r="E73" s="506">
        <v>100000</v>
      </c>
      <c r="F73" s="451">
        <v>0.5</v>
      </c>
      <c r="I73" s="451">
        <v>2.5</v>
      </c>
      <c r="J73" s="451">
        <v>1</v>
      </c>
      <c r="K73" s="39" t="s">
        <v>625</v>
      </c>
    </row>
    <row r="74" spans="2:13" x14ac:dyDescent="0.35">
      <c r="B74" s="9" t="s">
        <v>620</v>
      </c>
      <c r="C74" s="130" t="s">
        <v>623</v>
      </c>
      <c r="I74" s="131">
        <v>0.3</v>
      </c>
      <c r="J74" s="131">
        <v>0.3</v>
      </c>
      <c r="K74" s="39" t="s">
        <v>626</v>
      </c>
    </row>
    <row r="77" spans="2:13" ht="15.5" x14ac:dyDescent="0.35">
      <c r="B77" s="5" t="s">
        <v>725</v>
      </c>
    </row>
    <row r="78" spans="2:13" x14ac:dyDescent="0.35">
      <c r="C78" s="39" t="s">
        <v>719</v>
      </c>
    </row>
    <row r="79" spans="2:13" x14ac:dyDescent="0.35">
      <c r="C79" s="39" t="s">
        <v>720</v>
      </c>
    </row>
    <row r="80" spans="2:13" x14ac:dyDescent="0.35">
      <c r="C80" s="39" t="s">
        <v>721</v>
      </c>
    </row>
    <row r="81" spans="2:13" x14ac:dyDescent="0.35">
      <c r="C81" s="39" t="s">
        <v>722</v>
      </c>
    </row>
    <row r="82" spans="2:13" x14ac:dyDescent="0.35">
      <c r="C82" s="39" t="s">
        <v>723</v>
      </c>
    </row>
    <row r="83" spans="2:13" x14ac:dyDescent="0.35">
      <c r="C83" s="39" t="s">
        <v>724</v>
      </c>
    </row>
    <row r="86" spans="2:13" ht="15.5" x14ac:dyDescent="0.35">
      <c r="B86" s="5" t="s">
        <v>745</v>
      </c>
    </row>
    <row r="87" spans="2:13" s="43" customFormat="1" ht="26" x14ac:dyDescent="0.3">
      <c r="B87" s="41" t="s">
        <v>62</v>
      </c>
      <c r="C87" s="41" t="s">
        <v>68</v>
      </c>
      <c r="D87" s="44"/>
      <c r="E87" s="263" t="s">
        <v>711</v>
      </c>
      <c r="H87" s="41" t="s">
        <v>982</v>
      </c>
      <c r="I87" s="44" t="s">
        <v>582</v>
      </c>
      <c r="J87" s="42" t="s">
        <v>583</v>
      </c>
      <c r="K87" s="42" t="s">
        <v>74</v>
      </c>
      <c r="M87" s="6"/>
    </row>
    <row r="88" spans="2:13" x14ac:dyDescent="0.35">
      <c r="B88" s="9" t="s">
        <v>25</v>
      </c>
      <c r="C88" s="39" t="s">
        <v>713</v>
      </c>
      <c r="D88" s="8"/>
      <c r="E88" s="130" t="s">
        <v>714</v>
      </c>
      <c r="H88" s="9" t="s">
        <v>25</v>
      </c>
      <c r="I88" s="131">
        <v>700</v>
      </c>
      <c r="J88" s="131">
        <v>700</v>
      </c>
      <c r="K88" s="39" t="s">
        <v>717</v>
      </c>
    </row>
    <row r="89" spans="2:13" x14ac:dyDescent="0.35">
      <c r="B89" s="9" t="s">
        <v>26</v>
      </c>
      <c r="C89" s="39" t="s">
        <v>712</v>
      </c>
      <c r="D89" s="8"/>
      <c r="E89" s="130" t="s">
        <v>716</v>
      </c>
      <c r="H89" s="9" t="s">
        <v>26</v>
      </c>
      <c r="I89" s="131">
        <v>900</v>
      </c>
      <c r="J89" s="131">
        <v>900</v>
      </c>
      <c r="K89" s="39" t="s">
        <v>717</v>
      </c>
    </row>
    <row r="90" spans="2:13" x14ac:dyDescent="0.35">
      <c r="B90" s="9" t="s">
        <v>27</v>
      </c>
      <c r="C90" s="39" t="s">
        <v>750</v>
      </c>
      <c r="D90" s="8"/>
      <c r="E90" s="130" t="s">
        <v>715</v>
      </c>
      <c r="H90" s="9" t="s">
        <v>27</v>
      </c>
      <c r="I90" s="131">
        <v>1100</v>
      </c>
      <c r="J90" s="131">
        <v>1100</v>
      </c>
      <c r="K90" s="39" t="s">
        <v>717</v>
      </c>
    </row>
    <row r="93" spans="2:13" ht="15.5" x14ac:dyDescent="0.35">
      <c r="B93" s="5" t="s">
        <v>749</v>
      </c>
    </row>
    <row r="94" spans="2:13" s="43" customFormat="1" ht="26" x14ac:dyDescent="0.3">
      <c r="B94" s="41" t="s">
        <v>62</v>
      </c>
      <c r="C94" s="41" t="s">
        <v>68</v>
      </c>
      <c r="D94" s="44"/>
      <c r="E94" s="263"/>
      <c r="H94" s="41"/>
      <c r="I94" s="44" t="s">
        <v>582</v>
      </c>
      <c r="J94" s="42" t="s">
        <v>583</v>
      </c>
      <c r="K94" s="42" t="s">
        <v>74</v>
      </c>
      <c r="M94" s="6"/>
    </row>
    <row r="95" spans="2:13" x14ac:dyDescent="0.35">
      <c r="B95" s="9" t="s">
        <v>28</v>
      </c>
      <c r="C95" s="39" t="s">
        <v>718</v>
      </c>
      <c r="D95" s="8"/>
      <c r="E95" s="86"/>
      <c r="H95" s="9"/>
      <c r="I95" s="131">
        <v>180</v>
      </c>
      <c r="J95" s="131">
        <v>180</v>
      </c>
      <c r="K95" s="39" t="s">
        <v>752</v>
      </c>
    </row>
    <row r="96" spans="2:13" x14ac:dyDescent="0.35">
      <c r="B96" s="9" t="s">
        <v>31</v>
      </c>
      <c r="C96" s="39" t="s">
        <v>751</v>
      </c>
      <c r="D96" s="8"/>
      <c r="E96" s="86"/>
      <c r="H96" s="9"/>
      <c r="I96" s="131">
        <v>750</v>
      </c>
      <c r="J96" s="131">
        <v>250</v>
      </c>
      <c r="K96" s="39" t="s">
        <v>752</v>
      </c>
    </row>
    <row r="97" spans="2:13" x14ac:dyDescent="0.35">
      <c r="B97" s="9"/>
      <c r="C97" s="39"/>
      <c r="D97" s="8"/>
      <c r="E97" s="86"/>
      <c r="H97" s="9"/>
      <c r="I97" s="131"/>
      <c r="J97" s="131"/>
      <c r="K97" s="39"/>
    </row>
    <row r="98" spans="2:13" x14ac:dyDescent="0.35">
      <c r="B98" s="9"/>
      <c r="C98" s="39"/>
      <c r="D98" s="8"/>
      <c r="E98" s="86"/>
      <c r="H98" s="9"/>
      <c r="I98" s="131"/>
      <c r="J98" s="131"/>
      <c r="K98" s="39"/>
    </row>
    <row r="99" spans="2:13" ht="15.5" x14ac:dyDescent="0.35">
      <c r="B99" s="5" t="s">
        <v>761</v>
      </c>
    </row>
    <row r="100" spans="2:13" s="43" customFormat="1" ht="26" x14ac:dyDescent="0.3">
      <c r="B100" s="41" t="s">
        <v>62</v>
      </c>
      <c r="C100" s="41" t="s">
        <v>68</v>
      </c>
      <c r="D100" s="44"/>
      <c r="E100" s="263"/>
      <c r="H100" s="41"/>
      <c r="I100" s="44" t="s">
        <v>582</v>
      </c>
      <c r="J100" s="42" t="s">
        <v>583</v>
      </c>
      <c r="K100" s="42" t="s">
        <v>74</v>
      </c>
      <c r="M100" s="6"/>
    </row>
    <row r="101" spans="2:13" x14ac:dyDescent="0.35">
      <c r="B101" s="9" t="s">
        <v>32</v>
      </c>
      <c r="C101" s="39" t="s">
        <v>758</v>
      </c>
      <c r="D101" s="8"/>
      <c r="E101" s="86"/>
      <c r="H101" s="9"/>
      <c r="I101" s="131">
        <v>2000</v>
      </c>
      <c r="J101" s="131">
        <v>900</v>
      </c>
      <c r="K101" s="39" t="s">
        <v>759</v>
      </c>
    </row>
    <row r="104" spans="2:13" ht="15.5" x14ac:dyDescent="0.35">
      <c r="B104" s="5" t="s">
        <v>762</v>
      </c>
    </row>
    <row r="105" spans="2:13" s="43" customFormat="1" ht="26" x14ac:dyDescent="0.3">
      <c r="B105" s="41" t="s">
        <v>62</v>
      </c>
      <c r="C105" s="41" t="s">
        <v>68</v>
      </c>
      <c r="D105" s="44"/>
      <c r="E105" s="263"/>
      <c r="H105" s="41"/>
      <c r="I105" s="44" t="s">
        <v>582</v>
      </c>
      <c r="J105" s="42" t="s">
        <v>583</v>
      </c>
      <c r="K105" s="42" t="s">
        <v>74</v>
      </c>
      <c r="M105" s="6"/>
    </row>
    <row r="106" spans="2:13" x14ac:dyDescent="0.35">
      <c r="B106" s="9" t="s">
        <v>33</v>
      </c>
      <c r="C106" s="39" t="s">
        <v>758</v>
      </c>
      <c r="D106" s="8"/>
      <c r="E106" s="86"/>
      <c r="H106" s="9"/>
      <c r="I106" s="131">
        <v>2000</v>
      </c>
      <c r="J106" s="131">
        <v>1000</v>
      </c>
      <c r="K106" s="39" t="s">
        <v>760</v>
      </c>
    </row>
    <row r="107" spans="2:13" x14ac:dyDescent="0.35">
      <c r="B107" s="9"/>
    </row>
    <row r="109" spans="2:13" ht="15.5" x14ac:dyDescent="0.35">
      <c r="B109" s="274" t="s">
        <v>753</v>
      </c>
    </row>
    <row r="110" spans="2:13" ht="15.5" x14ac:dyDescent="0.35">
      <c r="B110" s="5" t="s">
        <v>748</v>
      </c>
    </row>
    <row r="111" spans="2:13" s="43" customFormat="1" ht="26" x14ac:dyDescent="0.3">
      <c r="B111" s="41" t="s">
        <v>62</v>
      </c>
      <c r="C111" s="41" t="s">
        <v>68</v>
      </c>
      <c r="D111" s="44"/>
      <c r="E111" s="263"/>
      <c r="H111" s="41"/>
      <c r="I111" s="44" t="s">
        <v>582</v>
      </c>
      <c r="J111" s="42" t="s">
        <v>583</v>
      </c>
      <c r="K111" s="42" t="s">
        <v>74</v>
      </c>
      <c r="M111" s="6"/>
    </row>
    <row r="112" spans="2:13" x14ac:dyDescent="0.35">
      <c r="B112" s="9" t="s">
        <v>29</v>
      </c>
      <c r="C112" s="39" t="s">
        <v>726</v>
      </c>
      <c r="D112" s="8"/>
      <c r="E112" s="86"/>
      <c r="H112" s="9"/>
      <c r="I112" s="131">
        <v>500</v>
      </c>
      <c r="J112" s="131">
        <v>500</v>
      </c>
      <c r="K112" s="39" t="s">
        <v>727</v>
      </c>
    </row>
    <row r="115" spans="2:13" ht="15.5" x14ac:dyDescent="0.35">
      <c r="B115" s="5" t="s">
        <v>746</v>
      </c>
    </row>
    <row r="116" spans="2:13" s="43" customFormat="1" ht="26" x14ac:dyDescent="0.3">
      <c r="B116" s="41" t="s">
        <v>62</v>
      </c>
      <c r="C116" s="41" t="s">
        <v>68</v>
      </c>
      <c r="D116" s="44"/>
      <c r="E116" s="263"/>
      <c r="H116" s="41"/>
      <c r="I116" s="44" t="s">
        <v>582</v>
      </c>
      <c r="J116" s="42" t="s">
        <v>583</v>
      </c>
      <c r="K116" s="42" t="s">
        <v>74</v>
      </c>
      <c r="M116" s="6"/>
    </row>
    <row r="117" spans="2:13" x14ac:dyDescent="0.35">
      <c r="B117" s="9" t="s">
        <v>30</v>
      </c>
      <c r="C117" s="39" t="s">
        <v>743</v>
      </c>
      <c r="D117" s="8"/>
      <c r="E117" s="86"/>
      <c r="H117" s="9"/>
      <c r="I117" s="131">
        <v>500</v>
      </c>
      <c r="J117" s="131">
        <v>500</v>
      </c>
      <c r="K117" s="39" t="s">
        <v>727</v>
      </c>
    </row>
    <row r="118" spans="2:13" x14ac:dyDescent="0.35">
      <c r="B118" s="9" t="s">
        <v>34</v>
      </c>
      <c r="C118" s="39" t="s">
        <v>744</v>
      </c>
      <c r="D118" s="8"/>
      <c r="E118" s="86"/>
      <c r="H118" s="9"/>
      <c r="I118" s="131">
        <v>1100</v>
      </c>
      <c r="J118" s="131">
        <v>600</v>
      </c>
      <c r="K118" s="39" t="s">
        <v>727</v>
      </c>
    </row>
    <row r="121" spans="2:13" ht="15.5" x14ac:dyDescent="0.35">
      <c r="B121" s="5" t="s">
        <v>754</v>
      </c>
    </row>
    <row r="122" spans="2:13" s="43" customFormat="1" ht="26" x14ac:dyDescent="0.3">
      <c r="B122" s="41" t="s">
        <v>62</v>
      </c>
      <c r="C122" s="41" t="s">
        <v>68</v>
      </c>
      <c r="D122" s="44" t="s">
        <v>755</v>
      </c>
      <c r="E122" s="263"/>
      <c r="H122" s="41"/>
      <c r="I122" s="44" t="s">
        <v>582</v>
      </c>
      <c r="J122" s="42" t="s">
        <v>583</v>
      </c>
      <c r="K122" s="42" t="s">
        <v>74</v>
      </c>
      <c r="M122" s="6"/>
    </row>
    <row r="123" spans="2:13" x14ac:dyDescent="0.35">
      <c r="B123" s="9" t="s">
        <v>35</v>
      </c>
      <c r="C123" s="39" t="s">
        <v>757</v>
      </c>
      <c r="D123" s="8">
        <v>0.5</v>
      </c>
      <c r="E123" s="86" t="s">
        <v>756</v>
      </c>
      <c r="H123" s="9"/>
      <c r="I123" s="131">
        <v>4200</v>
      </c>
      <c r="J123" s="131">
        <v>1400</v>
      </c>
      <c r="K123" s="39" t="s">
        <v>727</v>
      </c>
    </row>
    <row r="126" spans="2:13" ht="15.5" x14ac:dyDescent="0.35">
      <c r="B126" s="5" t="s">
        <v>747</v>
      </c>
    </row>
    <row r="127" spans="2:13" s="43" customFormat="1" ht="26" x14ac:dyDescent="0.3">
      <c r="B127" s="41" t="s">
        <v>62</v>
      </c>
      <c r="C127" s="41" t="s">
        <v>68</v>
      </c>
      <c r="D127" s="44" t="s">
        <v>733</v>
      </c>
      <c r="E127" s="263"/>
      <c r="H127" s="41" t="s">
        <v>738</v>
      </c>
      <c r="I127" s="44" t="s">
        <v>582</v>
      </c>
      <c r="J127" s="42" t="s">
        <v>583</v>
      </c>
      <c r="K127" s="42" t="s">
        <v>74</v>
      </c>
      <c r="M127" s="6"/>
    </row>
    <row r="128" spans="2:13" x14ac:dyDescent="0.35">
      <c r="B128" s="9" t="s">
        <v>13</v>
      </c>
      <c r="C128" s="39" t="s">
        <v>728</v>
      </c>
      <c r="D128" s="8" t="s">
        <v>734</v>
      </c>
      <c r="E128" s="86"/>
      <c r="H128" s="9" t="s">
        <v>13</v>
      </c>
      <c r="I128" s="131">
        <v>2000</v>
      </c>
      <c r="J128" s="131">
        <v>2000</v>
      </c>
      <c r="K128" s="39" t="s">
        <v>732</v>
      </c>
    </row>
    <row r="129" spans="2:13" x14ac:dyDescent="0.35">
      <c r="B129" s="9" t="s">
        <v>14</v>
      </c>
      <c r="C129" s="39" t="s">
        <v>729</v>
      </c>
      <c r="D129" s="8" t="s">
        <v>735</v>
      </c>
      <c r="H129" s="9" t="s">
        <v>14</v>
      </c>
      <c r="I129" s="131">
        <v>2000</v>
      </c>
      <c r="J129" s="131">
        <v>2000</v>
      </c>
      <c r="K129" s="39" t="s">
        <v>732</v>
      </c>
    </row>
    <row r="130" spans="2:13" x14ac:dyDescent="0.35">
      <c r="B130" s="9" t="s">
        <v>15</v>
      </c>
      <c r="C130" s="39" t="s">
        <v>730</v>
      </c>
      <c r="D130" s="8" t="s">
        <v>736</v>
      </c>
      <c r="H130" s="9" t="s">
        <v>15</v>
      </c>
      <c r="I130" s="131">
        <v>2000</v>
      </c>
      <c r="J130" s="131">
        <v>2000</v>
      </c>
      <c r="K130" s="39" t="s">
        <v>732</v>
      </c>
    </row>
    <row r="131" spans="2:13" x14ac:dyDescent="0.35">
      <c r="B131" s="9" t="s">
        <v>16</v>
      </c>
      <c r="C131" s="39" t="s">
        <v>731</v>
      </c>
      <c r="D131" s="8" t="s">
        <v>737</v>
      </c>
      <c r="H131" s="9" t="s">
        <v>16</v>
      </c>
      <c r="I131" s="131">
        <v>2000</v>
      </c>
      <c r="J131" s="131">
        <v>2000</v>
      </c>
      <c r="K131" s="39" t="s">
        <v>732</v>
      </c>
    </row>
    <row r="132" spans="2:13" x14ac:dyDescent="0.35">
      <c r="B132" s="9" t="s">
        <v>17</v>
      </c>
      <c r="C132" s="39" t="s">
        <v>742</v>
      </c>
      <c r="D132" s="8" t="s">
        <v>736</v>
      </c>
      <c r="E132" s="86"/>
      <c r="H132" s="9" t="s">
        <v>17</v>
      </c>
      <c r="I132" s="131">
        <v>3000</v>
      </c>
      <c r="J132" s="131">
        <v>1000</v>
      </c>
      <c r="K132" s="39" t="s">
        <v>732</v>
      </c>
    </row>
    <row r="133" spans="2:13" x14ac:dyDescent="0.35">
      <c r="B133" s="9" t="s">
        <v>18</v>
      </c>
      <c r="C133" s="39" t="s">
        <v>741</v>
      </c>
      <c r="D133" s="8" t="s">
        <v>737</v>
      </c>
      <c r="H133" s="9" t="s">
        <v>18</v>
      </c>
      <c r="I133" s="131">
        <v>3600</v>
      </c>
      <c r="J133" s="131">
        <v>1200</v>
      </c>
      <c r="K133" s="39" t="s">
        <v>732</v>
      </c>
    </row>
    <row r="136" spans="2:13" ht="15.5" x14ac:dyDescent="0.35">
      <c r="B136" s="5" t="s">
        <v>764</v>
      </c>
    </row>
    <row r="137" spans="2:13" s="43" customFormat="1" ht="26" x14ac:dyDescent="0.3">
      <c r="B137" s="41" t="s">
        <v>62</v>
      </c>
      <c r="C137" s="41" t="s">
        <v>68</v>
      </c>
      <c r="D137" s="44"/>
      <c r="E137" s="263"/>
      <c r="H137" s="41"/>
      <c r="I137" s="44" t="s">
        <v>582</v>
      </c>
      <c r="J137" s="42" t="s">
        <v>583</v>
      </c>
      <c r="K137" s="42" t="s">
        <v>74</v>
      </c>
      <c r="M137" s="6"/>
    </row>
    <row r="138" spans="2:13" x14ac:dyDescent="0.35">
      <c r="B138" s="9" t="s">
        <v>19</v>
      </c>
      <c r="C138" s="39" t="s">
        <v>770</v>
      </c>
      <c r="D138" s="8"/>
      <c r="E138" s="86"/>
      <c r="H138" s="9"/>
      <c r="I138" s="131">
        <v>400</v>
      </c>
      <c r="J138" s="131">
        <v>400</v>
      </c>
      <c r="K138" s="39" t="s">
        <v>769</v>
      </c>
    </row>
    <row r="139" spans="2:13" x14ac:dyDescent="0.35">
      <c r="B139" s="9" t="s">
        <v>19</v>
      </c>
      <c r="C139" s="39" t="s">
        <v>765</v>
      </c>
      <c r="I139" s="131">
        <v>500</v>
      </c>
      <c r="J139" s="131">
        <v>500</v>
      </c>
      <c r="K139" s="39" t="s">
        <v>769</v>
      </c>
    </row>
    <row r="140" spans="2:13" x14ac:dyDescent="0.35">
      <c r="B140" s="9" t="s">
        <v>19</v>
      </c>
      <c r="C140" s="39" t="s">
        <v>766</v>
      </c>
      <c r="I140" s="131">
        <v>900</v>
      </c>
      <c r="J140" s="131">
        <v>900</v>
      </c>
      <c r="K140" s="39" t="s">
        <v>769</v>
      </c>
    </row>
    <row r="141" spans="2:13" x14ac:dyDescent="0.35">
      <c r="B141" s="9" t="s">
        <v>19</v>
      </c>
      <c r="C141" s="39" t="s">
        <v>767</v>
      </c>
      <c r="I141" s="131">
        <v>1300</v>
      </c>
      <c r="J141" s="131">
        <v>1300</v>
      </c>
      <c r="K141" s="39" t="s">
        <v>769</v>
      </c>
    </row>
    <row r="142" spans="2:13" x14ac:dyDescent="0.35">
      <c r="B142" s="9" t="s">
        <v>19</v>
      </c>
      <c r="C142" s="39" t="s">
        <v>768</v>
      </c>
      <c r="I142" s="131">
        <v>2000</v>
      </c>
      <c r="J142" s="131">
        <v>2000</v>
      </c>
      <c r="K142" s="39" t="s">
        <v>769</v>
      </c>
    </row>
    <row r="145" spans="2:13" ht="15.5" x14ac:dyDescent="0.35">
      <c r="B145" s="5" t="s">
        <v>771</v>
      </c>
    </row>
    <row r="146" spans="2:13" s="43" customFormat="1" ht="26" x14ac:dyDescent="0.3">
      <c r="B146" s="41" t="s">
        <v>62</v>
      </c>
      <c r="C146" s="41" t="s">
        <v>68</v>
      </c>
      <c r="D146" s="44"/>
      <c r="E146" s="263"/>
      <c r="H146" s="41"/>
      <c r="I146" s="44" t="s">
        <v>64</v>
      </c>
      <c r="J146" s="42"/>
      <c r="K146" s="42"/>
      <c r="M146" s="6"/>
    </row>
    <row r="147" spans="2:13" x14ac:dyDescent="0.35">
      <c r="B147" s="9" t="s">
        <v>775</v>
      </c>
      <c r="C147" s="39" t="s">
        <v>772</v>
      </c>
      <c r="D147" s="8"/>
      <c r="E147" s="86"/>
      <c r="H147" s="9"/>
      <c r="I147" s="131" t="s">
        <v>773</v>
      </c>
      <c r="J147" s="131"/>
      <c r="K147" s="39"/>
    </row>
    <row r="150" spans="2:13" ht="15.5" x14ac:dyDescent="0.35">
      <c r="B150" s="5" t="s">
        <v>20</v>
      </c>
    </row>
    <row r="151" spans="2:13" s="43" customFormat="1" ht="26" x14ac:dyDescent="0.3">
      <c r="B151" s="41" t="s">
        <v>62</v>
      </c>
      <c r="C151" s="41" t="s">
        <v>68</v>
      </c>
      <c r="D151" s="44"/>
      <c r="E151" s="263"/>
      <c r="H151" s="41"/>
      <c r="I151" s="44" t="s">
        <v>582</v>
      </c>
      <c r="J151" s="42" t="s">
        <v>583</v>
      </c>
      <c r="K151" s="42" t="s">
        <v>74</v>
      </c>
      <c r="M151" s="6"/>
    </row>
    <row r="152" spans="2:13" x14ac:dyDescent="0.35">
      <c r="B152" s="9" t="s">
        <v>21</v>
      </c>
      <c r="C152" s="39" t="s">
        <v>778</v>
      </c>
      <c r="D152" s="8"/>
      <c r="E152" s="86"/>
      <c r="H152" s="9"/>
      <c r="I152" s="131">
        <v>800</v>
      </c>
      <c r="J152" s="131">
        <v>400</v>
      </c>
      <c r="K152" s="39" t="s">
        <v>777</v>
      </c>
    </row>
    <row r="155" spans="2:13" ht="15.5" x14ac:dyDescent="0.35">
      <c r="B155" s="5" t="s">
        <v>789</v>
      </c>
    </row>
    <row r="156" spans="2:13" ht="15.5" x14ac:dyDescent="0.35">
      <c r="B156" s="5" t="s">
        <v>786</v>
      </c>
    </row>
    <row r="157" spans="2:13" s="43" customFormat="1" ht="26" x14ac:dyDescent="0.3">
      <c r="B157" s="41" t="s">
        <v>62</v>
      </c>
      <c r="C157" s="41" t="s">
        <v>68</v>
      </c>
      <c r="D157" s="44"/>
      <c r="E157" s="263"/>
      <c r="H157" s="41"/>
      <c r="I157" s="44" t="s">
        <v>582</v>
      </c>
      <c r="J157" s="42" t="s">
        <v>583</v>
      </c>
      <c r="K157" s="42" t="s">
        <v>74</v>
      </c>
      <c r="M157" s="6"/>
    </row>
    <row r="158" spans="2:13" x14ac:dyDescent="0.35">
      <c r="B158" s="9" t="s">
        <v>36</v>
      </c>
      <c r="C158" s="39" t="s">
        <v>779</v>
      </c>
      <c r="D158" s="8"/>
      <c r="E158" s="86"/>
      <c r="H158" s="9"/>
      <c r="I158" s="131">
        <v>50</v>
      </c>
      <c r="J158" s="131">
        <v>30</v>
      </c>
      <c r="K158" s="39" t="s">
        <v>790</v>
      </c>
    </row>
    <row r="161" spans="2:13" ht="15.5" x14ac:dyDescent="0.35">
      <c r="B161" s="5" t="s">
        <v>1006</v>
      </c>
    </row>
    <row r="162" spans="2:13" s="43" customFormat="1" ht="26" x14ac:dyDescent="0.3">
      <c r="B162" s="41" t="s">
        <v>62</v>
      </c>
      <c r="C162" s="41" t="s">
        <v>68</v>
      </c>
      <c r="D162" s="44" t="s">
        <v>781</v>
      </c>
      <c r="E162" s="263"/>
      <c r="H162" s="41"/>
      <c r="I162" s="44" t="s">
        <v>582</v>
      </c>
      <c r="J162" s="42" t="s">
        <v>583</v>
      </c>
      <c r="K162" s="42" t="s">
        <v>74</v>
      </c>
      <c r="M162" s="6"/>
    </row>
    <row r="163" spans="2:13" x14ac:dyDescent="0.35">
      <c r="B163" s="9" t="s">
        <v>24</v>
      </c>
      <c r="C163" s="39" t="s">
        <v>23</v>
      </c>
      <c r="D163" s="8" t="s">
        <v>205</v>
      </c>
      <c r="E163" s="86"/>
      <c r="H163" s="9"/>
      <c r="I163" s="131">
        <v>400</v>
      </c>
      <c r="J163" s="131">
        <v>400</v>
      </c>
      <c r="K163" s="39" t="s">
        <v>780</v>
      </c>
    </row>
    <row r="164" spans="2:13" x14ac:dyDescent="0.35">
      <c r="B164" s="9"/>
      <c r="C164" s="39"/>
      <c r="D164" s="8" t="s">
        <v>783</v>
      </c>
      <c r="E164" s="86"/>
      <c r="H164" s="9"/>
      <c r="I164" s="131"/>
      <c r="J164" s="131"/>
      <c r="K164" s="39"/>
    </row>
    <row r="165" spans="2:13" x14ac:dyDescent="0.35">
      <c r="B165" s="9"/>
      <c r="C165" s="39"/>
      <c r="D165" s="8" t="s">
        <v>784</v>
      </c>
      <c r="E165" s="86"/>
      <c r="H165" s="9"/>
      <c r="I165" s="131"/>
      <c r="J165" s="131"/>
      <c r="K165" s="39"/>
    </row>
    <row r="166" spans="2:13" x14ac:dyDescent="0.35">
      <c r="B166" s="9"/>
      <c r="C166" s="39"/>
      <c r="D166" s="8" t="s">
        <v>136</v>
      </c>
      <c r="E166" s="86"/>
      <c r="H166" s="9"/>
      <c r="I166" s="131"/>
      <c r="J166" s="131"/>
      <c r="K166" s="39"/>
    </row>
    <row r="167" spans="2:13" x14ac:dyDescent="0.35">
      <c r="B167" s="9"/>
      <c r="C167" s="39"/>
      <c r="D167" s="8" t="s">
        <v>785</v>
      </c>
      <c r="E167" s="86"/>
      <c r="H167" s="9"/>
      <c r="I167" s="131"/>
      <c r="J167" s="131"/>
      <c r="K167" s="39"/>
    </row>
    <row r="168" spans="2:13" x14ac:dyDescent="0.35">
      <c r="B168" s="9"/>
      <c r="C168" s="39"/>
      <c r="D168" s="8" t="s">
        <v>782</v>
      </c>
      <c r="E168" s="86"/>
      <c r="H168" s="9"/>
      <c r="I168" s="131"/>
      <c r="J168" s="131"/>
      <c r="K168" s="39"/>
    </row>
    <row r="169" spans="2:13" x14ac:dyDescent="0.35">
      <c r="D169" s="8"/>
    </row>
    <row r="170" spans="2:13" ht="15.5" x14ac:dyDescent="0.35">
      <c r="B170" s="274" t="s">
        <v>22</v>
      </c>
      <c r="D170" s="8"/>
    </row>
    <row r="171" spans="2:13" ht="15.5" x14ac:dyDescent="0.35">
      <c r="B171" s="274" t="s">
        <v>791</v>
      </c>
    </row>
    <row r="172" spans="2:13" s="43" customFormat="1" ht="26" x14ac:dyDescent="0.3">
      <c r="B172" s="41" t="s">
        <v>62</v>
      </c>
      <c r="C172" s="41" t="s">
        <v>68</v>
      </c>
      <c r="D172" s="44" t="s">
        <v>794</v>
      </c>
      <c r="E172" s="263"/>
      <c r="H172" s="41"/>
      <c r="I172" s="44" t="s">
        <v>582</v>
      </c>
      <c r="J172" s="42" t="s">
        <v>583</v>
      </c>
      <c r="K172" s="42" t="s">
        <v>74</v>
      </c>
      <c r="M172" s="6"/>
    </row>
    <row r="173" spans="2:13" x14ac:dyDescent="0.35">
      <c r="B173" s="9" t="s">
        <v>37</v>
      </c>
      <c r="C173" s="39" t="s">
        <v>792</v>
      </c>
      <c r="D173" s="8" t="s">
        <v>795</v>
      </c>
      <c r="E173" s="86"/>
      <c r="H173" s="9"/>
      <c r="I173" s="131">
        <v>1.8</v>
      </c>
      <c r="J173" s="131">
        <v>1.8</v>
      </c>
      <c r="K173" s="39" t="s">
        <v>793</v>
      </c>
    </row>
    <row r="174" spans="2:13" x14ac:dyDescent="0.35">
      <c r="B174" s="9"/>
      <c r="C174" s="39"/>
      <c r="D174" s="8" t="s">
        <v>974</v>
      </c>
      <c r="E174" s="86"/>
      <c r="H174" s="9"/>
      <c r="I174" s="131"/>
      <c r="J174" s="131"/>
      <c r="K174" s="39"/>
    </row>
    <row r="175" spans="2:13" ht="15.5" x14ac:dyDescent="0.35">
      <c r="B175" s="274" t="s">
        <v>797</v>
      </c>
    </row>
    <row r="176" spans="2:13" s="43" customFormat="1" ht="26" x14ac:dyDescent="0.3">
      <c r="B176" s="41" t="s">
        <v>62</v>
      </c>
      <c r="C176" s="41" t="s">
        <v>68</v>
      </c>
      <c r="D176" s="44"/>
      <c r="E176" s="263"/>
      <c r="H176" s="41"/>
      <c r="I176" s="44" t="s">
        <v>582</v>
      </c>
      <c r="J176" s="42" t="s">
        <v>583</v>
      </c>
      <c r="K176" s="42" t="s">
        <v>74</v>
      </c>
      <c r="M176" s="6"/>
    </row>
    <row r="177" spans="2:13" x14ac:dyDescent="0.35">
      <c r="B177" s="9" t="s">
        <v>38</v>
      </c>
      <c r="C177" s="39" t="s">
        <v>802</v>
      </c>
      <c r="D177" s="8"/>
      <c r="E177" s="86"/>
      <c r="H177" s="9"/>
      <c r="I177" s="131">
        <v>400</v>
      </c>
      <c r="J177" s="131">
        <v>400</v>
      </c>
      <c r="K177" s="39" t="s">
        <v>798</v>
      </c>
    </row>
    <row r="178" spans="2:13" x14ac:dyDescent="0.35">
      <c r="D178" s="8"/>
    </row>
    <row r="180" spans="2:13" ht="15.5" x14ac:dyDescent="0.35">
      <c r="B180" s="274" t="s">
        <v>815</v>
      </c>
    </row>
    <row r="181" spans="2:13" s="43" customFormat="1" ht="26" x14ac:dyDescent="0.3">
      <c r="B181" s="41" t="s">
        <v>62</v>
      </c>
      <c r="C181" s="41" t="s">
        <v>68</v>
      </c>
      <c r="D181" s="44" t="s">
        <v>803</v>
      </c>
      <c r="E181" s="44" t="s">
        <v>808</v>
      </c>
      <c r="F181" s="263" t="s">
        <v>809</v>
      </c>
      <c r="G181" s="276" t="s">
        <v>822</v>
      </c>
      <c r="H181" s="41"/>
      <c r="I181" s="44" t="s">
        <v>582</v>
      </c>
      <c r="J181" s="42" t="s">
        <v>583</v>
      </c>
      <c r="K181" s="42" t="s">
        <v>74</v>
      </c>
      <c r="M181" s="6"/>
    </row>
    <row r="182" spans="2:13" x14ac:dyDescent="0.35">
      <c r="B182" s="9" t="s">
        <v>804</v>
      </c>
      <c r="C182" s="39" t="s">
        <v>816</v>
      </c>
      <c r="D182" s="8" t="s">
        <v>810</v>
      </c>
      <c r="E182" s="130">
        <v>0</v>
      </c>
      <c r="F182" s="130">
        <v>15</v>
      </c>
      <c r="G182" s="130" t="str">
        <f>"less than "&amp;F182&amp;" cu ft"</f>
        <v>less than 15 cu ft</v>
      </c>
      <c r="H182" s="9"/>
      <c r="I182" s="131">
        <v>35</v>
      </c>
      <c r="J182" s="131">
        <v>35</v>
      </c>
      <c r="K182" s="39" t="s">
        <v>814</v>
      </c>
    </row>
    <row r="183" spans="2:13" x14ac:dyDescent="0.35">
      <c r="B183" s="9" t="s">
        <v>805</v>
      </c>
      <c r="C183" s="39" t="s">
        <v>817</v>
      </c>
      <c r="D183" s="8" t="s">
        <v>810</v>
      </c>
      <c r="E183" s="130">
        <v>15</v>
      </c>
      <c r="F183" s="130">
        <v>30</v>
      </c>
      <c r="G183" s="130" t="str">
        <f>"from "&amp;E183&amp;" to "&amp;F183&amp;" cu ft"</f>
        <v>from 15 to 30 cu ft</v>
      </c>
      <c r="H183" s="9"/>
      <c r="I183" s="131">
        <v>75</v>
      </c>
      <c r="J183" s="131">
        <v>75</v>
      </c>
      <c r="K183" s="39" t="s">
        <v>814</v>
      </c>
    </row>
    <row r="184" spans="2:13" x14ac:dyDescent="0.35">
      <c r="B184" s="9" t="s">
        <v>806</v>
      </c>
      <c r="C184" s="39" t="s">
        <v>818</v>
      </c>
      <c r="D184" s="8" t="s">
        <v>810</v>
      </c>
      <c r="E184" s="130">
        <v>31</v>
      </c>
      <c r="F184" s="130">
        <v>50</v>
      </c>
      <c r="G184" s="130" t="str">
        <f>"from "&amp;E184&amp;" to "&amp;F184&amp;" cu ft"</f>
        <v>from 31 to 50 cu ft</v>
      </c>
      <c r="H184" s="9"/>
      <c r="I184" s="131">
        <v>150</v>
      </c>
      <c r="J184" s="131">
        <v>150</v>
      </c>
      <c r="K184" s="39" t="s">
        <v>814</v>
      </c>
    </row>
    <row r="185" spans="2:13" x14ac:dyDescent="0.35">
      <c r="B185" s="9" t="s">
        <v>807</v>
      </c>
      <c r="C185" s="39" t="s">
        <v>819</v>
      </c>
      <c r="D185" s="8" t="s">
        <v>810</v>
      </c>
      <c r="E185" s="130">
        <v>51</v>
      </c>
      <c r="F185" s="7"/>
      <c r="G185" s="130" t="str">
        <f>"greater than "&amp;E185&amp;" cu ft"</f>
        <v>greater than 51 cu ft</v>
      </c>
      <c r="H185" s="9"/>
      <c r="I185" s="131">
        <v>250</v>
      </c>
      <c r="J185" s="131">
        <v>250</v>
      </c>
      <c r="K185" s="39" t="s">
        <v>814</v>
      </c>
    </row>
    <row r="186" spans="2:13" x14ac:dyDescent="0.35">
      <c r="B186" s="9" t="s">
        <v>812</v>
      </c>
      <c r="C186" s="39" t="s">
        <v>820</v>
      </c>
      <c r="D186" s="8" t="s">
        <v>811</v>
      </c>
      <c r="E186" s="130">
        <v>31</v>
      </c>
      <c r="F186" s="130">
        <v>50</v>
      </c>
      <c r="G186" s="130" t="str">
        <f>"from "&amp;E186&amp;" to "&amp;F186&amp;" cu ft"</f>
        <v>from 31 to 50 cu ft</v>
      </c>
      <c r="H186" s="9"/>
      <c r="I186" s="131">
        <v>300</v>
      </c>
      <c r="J186" s="131">
        <v>300</v>
      </c>
      <c r="K186" s="39" t="s">
        <v>814</v>
      </c>
    </row>
    <row r="187" spans="2:13" x14ac:dyDescent="0.35">
      <c r="B187" s="9" t="s">
        <v>813</v>
      </c>
      <c r="C187" s="39" t="s">
        <v>821</v>
      </c>
      <c r="D187" s="8" t="s">
        <v>811</v>
      </c>
      <c r="E187" s="130">
        <v>51</v>
      </c>
      <c r="F187" s="7"/>
      <c r="G187" s="130" t="str">
        <f>"greater than "&amp;E187&amp;" cu ft"</f>
        <v>greater than 51 cu ft</v>
      </c>
      <c r="H187" s="9"/>
      <c r="I187" s="131">
        <v>500</v>
      </c>
      <c r="J187" s="131">
        <v>500</v>
      </c>
      <c r="K187" s="39" t="s">
        <v>814</v>
      </c>
    </row>
    <row r="188" spans="2:13" x14ac:dyDescent="0.35">
      <c r="B188" s="9"/>
      <c r="C188" s="39"/>
      <c r="D188" s="8"/>
      <c r="E188" s="130"/>
      <c r="F188" s="130"/>
      <c r="H188" s="9"/>
      <c r="I188" s="131"/>
      <c r="J188" s="131"/>
      <c r="K188" s="39"/>
    </row>
    <row r="190" spans="2:13" ht="15.5" x14ac:dyDescent="0.35">
      <c r="B190" s="274" t="s">
        <v>824</v>
      </c>
    </row>
    <row r="191" spans="2:13" s="43" customFormat="1" ht="26" x14ac:dyDescent="0.3">
      <c r="B191" s="41" t="s">
        <v>62</v>
      </c>
      <c r="C191" s="41" t="s">
        <v>68</v>
      </c>
      <c r="D191" s="44" t="s">
        <v>825</v>
      </c>
      <c r="E191" s="44"/>
      <c r="F191" s="263"/>
      <c r="G191" s="276"/>
      <c r="H191" s="41"/>
      <c r="I191" s="44" t="s">
        <v>582</v>
      </c>
      <c r="J191" s="42" t="s">
        <v>583</v>
      </c>
      <c r="K191" s="42" t="s">
        <v>74</v>
      </c>
      <c r="M191" s="6"/>
    </row>
    <row r="192" spans="2:13" x14ac:dyDescent="0.35">
      <c r="B192" s="9" t="s">
        <v>831</v>
      </c>
      <c r="C192" s="39" t="s">
        <v>835</v>
      </c>
      <c r="D192" s="277" t="s">
        <v>826</v>
      </c>
      <c r="E192" s="130"/>
      <c r="F192" s="130"/>
      <c r="G192" s="130"/>
      <c r="H192" s="9"/>
      <c r="I192" s="131">
        <v>110</v>
      </c>
      <c r="J192" s="131">
        <v>110</v>
      </c>
      <c r="K192" s="39" t="s">
        <v>832</v>
      </c>
    </row>
    <row r="193" spans="2:13" x14ac:dyDescent="0.35">
      <c r="D193" s="6" t="s">
        <v>827</v>
      </c>
    </row>
    <row r="194" spans="2:13" x14ac:dyDescent="0.35">
      <c r="D194" s="6" t="s">
        <v>828</v>
      </c>
    </row>
    <row r="195" spans="2:13" x14ac:dyDescent="0.35">
      <c r="D195" s="6" t="s">
        <v>829</v>
      </c>
    </row>
    <row r="196" spans="2:13" x14ac:dyDescent="0.35">
      <c r="D196" s="6" t="s">
        <v>830</v>
      </c>
    </row>
    <row r="198" spans="2:13" ht="15.5" x14ac:dyDescent="0.35">
      <c r="B198" s="274" t="s">
        <v>836</v>
      </c>
    </row>
    <row r="199" spans="2:13" s="43" customFormat="1" ht="26" x14ac:dyDescent="0.3">
      <c r="B199" s="41" t="s">
        <v>62</v>
      </c>
      <c r="C199" s="41" t="s">
        <v>68</v>
      </c>
      <c r="D199" s="44" t="s">
        <v>839</v>
      </c>
      <c r="E199" s="44"/>
      <c r="F199" s="263"/>
      <c r="G199" s="276"/>
      <c r="H199" s="41"/>
      <c r="I199" s="44" t="s">
        <v>582</v>
      </c>
      <c r="J199" s="42" t="s">
        <v>583</v>
      </c>
      <c r="K199" s="42" t="s">
        <v>74</v>
      </c>
      <c r="M199" s="6"/>
    </row>
    <row r="200" spans="2:13" x14ac:dyDescent="0.35">
      <c r="B200" s="9" t="s">
        <v>837</v>
      </c>
      <c r="C200" s="39" t="s">
        <v>838</v>
      </c>
      <c r="D200" s="6" t="s">
        <v>1008</v>
      </c>
      <c r="E200" s="130"/>
      <c r="F200" s="130"/>
      <c r="G200" s="130"/>
      <c r="H200" s="9"/>
      <c r="I200" s="131">
        <v>50</v>
      </c>
      <c r="J200" s="131">
        <v>50</v>
      </c>
      <c r="K200" s="39" t="s">
        <v>840</v>
      </c>
    </row>
    <row r="201" spans="2:13" x14ac:dyDescent="0.35">
      <c r="D201" s="6" t="s">
        <v>1009</v>
      </c>
    </row>
    <row r="205" spans="2:13" ht="15.5" x14ac:dyDescent="0.35">
      <c r="B205" s="274" t="s">
        <v>845</v>
      </c>
    </row>
    <row r="206" spans="2:13" s="43" customFormat="1" ht="26" x14ac:dyDescent="0.3">
      <c r="B206" s="41" t="s">
        <v>62</v>
      </c>
      <c r="C206" s="41" t="s">
        <v>68</v>
      </c>
      <c r="D206" s="44" t="s">
        <v>852</v>
      </c>
      <c r="E206" s="44"/>
      <c r="F206" s="263"/>
      <c r="G206" s="276"/>
      <c r="H206" s="41"/>
      <c r="I206" s="44" t="s">
        <v>582</v>
      </c>
      <c r="J206" s="42" t="s">
        <v>583</v>
      </c>
      <c r="K206" s="42" t="s">
        <v>74</v>
      </c>
      <c r="M206" s="6"/>
    </row>
    <row r="207" spans="2:13" x14ac:dyDescent="0.35">
      <c r="B207" s="9" t="s">
        <v>847</v>
      </c>
      <c r="C207" s="39" t="s">
        <v>846</v>
      </c>
      <c r="D207" s="6" t="s">
        <v>848</v>
      </c>
      <c r="E207" s="130"/>
      <c r="F207" s="130"/>
      <c r="G207" s="130"/>
      <c r="H207" s="9"/>
      <c r="I207" s="131">
        <v>500</v>
      </c>
      <c r="J207" s="131">
        <v>500</v>
      </c>
      <c r="K207" s="39" t="s">
        <v>823</v>
      </c>
    </row>
    <row r="208" spans="2:13" x14ac:dyDescent="0.35">
      <c r="D208" s="6" t="s">
        <v>849</v>
      </c>
    </row>
    <row r="209" spans="4:4" x14ac:dyDescent="0.35">
      <c r="D209" s="6" t="s">
        <v>850</v>
      </c>
    </row>
    <row r="210" spans="4:4" x14ac:dyDescent="0.35">
      <c r="D210" s="6" t="s">
        <v>851</v>
      </c>
    </row>
  </sheetData>
  <sheetProtection algorithmName="SHA-512" hashValue="oyZUBKtApXvKhMtGlX8rrQHDMs4XeIs9udhFbLO71CGcgph0LptA0TRNlrEqniovmRNDH9w7QtrQSsxjY0yXsw==" saltValue="5u4anAu0PgpNIWNu4EYq0Q==" spinCount="100000" sheet="1" selectLockedCells="1" selectUnlockedCells="1"/>
  <pageMargins left="0.7" right="0.7" top="0.75" bottom="0.75" header="0.3" footer="0.3"/>
  <pageSetup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ignoredErrors>
    <ignoredError sqref="G18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tabColor rgb="FFFFC000"/>
    <pageSetUpPr autoPageBreaks="0"/>
  </sheetPr>
  <dimension ref="A1:C49"/>
  <sheetViews>
    <sheetView showGridLines="0" showRowColHeaders="0" zoomScaleNormal="100" workbookViewId="0">
      <selection activeCell="B25" sqref="B25"/>
    </sheetView>
  </sheetViews>
  <sheetFormatPr defaultColWidth="8.7265625" defaultRowHeight="14.5" x14ac:dyDescent="0.35"/>
  <cols>
    <col min="1" max="1" width="6.54296875" style="346" customWidth="1"/>
    <col min="2" max="2" width="129.26953125" style="396" customWidth="1"/>
    <col min="3" max="16384" width="8.7265625" style="346"/>
  </cols>
  <sheetData>
    <row r="1" spans="1:3" x14ac:dyDescent="0.35">
      <c r="A1" s="397"/>
      <c r="B1" s="398"/>
      <c r="C1" s="398"/>
    </row>
    <row r="2" spans="1:3" ht="14.5" customHeight="1" x14ac:dyDescent="0.35">
      <c r="A2" s="397"/>
      <c r="B2" s="101" t="s">
        <v>151</v>
      </c>
      <c r="C2" s="398"/>
    </row>
    <row r="3" spans="1:3" ht="31.5" customHeight="1" x14ac:dyDescent="0.35">
      <c r="A3" s="397"/>
      <c r="B3" s="398" t="s">
        <v>152</v>
      </c>
      <c r="C3" s="398"/>
    </row>
    <row r="4" spans="1:3" ht="22.5" customHeight="1" x14ac:dyDescent="0.35">
      <c r="A4" s="397"/>
      <c r="B4" s="398" t="s">
        <v>153</v>
      </c>
      <c r="C4" s="397"/>
    </row>
    <row r="5" spans="1:3" ht="35.15" customHeight="1" x14ac:dyDescent="0.35">
      <c r="A5" s="397"/>
      <c r="B5" s="398" t="s">
        <v>154</v>
      </c>
      <c r="C5" s="397"/>
    </row>
    <row r="6" spans="1:3" ht="34.5" customHeight="1" x14ac:dyDescent="0.35">
      <c r="A6" s="397"/>
      <c r="B6" s="398" t="s">
        <v>155</v>
      </c>
      <c r="C6" s="397"/>
    </row>
    <row r="7" spans="1:3" ht="20.5" customHeight="1" x14ac:dyDescent="0.35">
      <c r="A7" s="397"/>
      <c r="B7" s="398" t="s">
        <v>156</v>
      </c>
      <c r="C7" s="397"/>
    </row>
    <row r="8" spans="1:3" ht="39" customHeight="1" x14ac:dyDescent="0.35">
      <c r="A8" s="397"/>
      <c r="B8" s="398" t="s">
        <v>157</v>
      </c>
      <c r="C8" s="397"/>
    </row>
    <row r="9" spans="1:3" ht="23.5" customHeight="1" x14ac:dyDescent="0.35">
      <c r="A9" s="397"/>
      <c r="B9" s="398" t="s">
        <v>158</v>
      </c>
      <c r="C9" s="397"/>
    </row>
    <row r="10" spans="1:3" ht="65.5" customHeight="1" x14ac:dyDescent="0.35">
      <c r="A10" s="397"/>
      <c r="B10" s="398" t="s">
        <v>159</v>
      </c>
      <c r="C10" s="397"/>
    </row>
    <row r="11" spans="1:3" ht="38.5" customHeight="1" x14ac:dyDescent="0.35">
      <c r="A11" s="397"/>
      <c r="B11" s="398" t="s">
        <v>160</v>
      </c>
      <c r="C11" s="397"/>
    </row>
    <row r="12" spans="1:3" ht="39" customHeight="1" x14ac:dyDescent="0.35">
      <c r="A12" s="397"/>
      <c r="B12" s="398" t="s">
        <v>161</v>
      </c>
      <c r="C12" s="397"/>
    </row>
    <row r="13" spans="1:3" ht="55.5" customHeight="1" x14ac:dyDescent="0.35">
      <c r="A13" s="397"/>
      <c r="B13" s="398" t="s">
        <v>162</v>
      </c>
      <c r="C13" s="397"/>
    </row>
    <row r="14" spans="1:3" ht="25" customHeight="1" x14ac:dyDescent="0.35">
      <c r="A14" s="397"/>
      <c r="B14" s="398" t="s">
        <v>163</v>
      </c>
      <c r="C14" s="397"/>
    </row>
    <row r="15" spans="1:3" ht="105" customHeight="1" x14ac:dyDescent="0.35">
      <c r="A15" s="397"/>
      <c r="B15" s="398" t="s">
        <v>164</v>
      </c>
      <c r="C15" s="397"/>
    </row>
    <row r="16" spans="1:3" ht="58" customHeight="1" x14ac:dyDescent="0.35">
      <c r="A16" s="397"/>
      <c r="B16" s="398" t="s">
        <v>165</v>
      </c>
      <c r="C16" s="397"/>
    </row>
    <row r="17" spans="1:3" ht="26.5" customHeight="1" x14ac:dyDescent="0.35">
      <c r="A17" s="397"/>
      <c r="B17" s="398" t="s">
        <v>166</v>
      </c>
      <c r="C17" s="397"/>
    </row>
    <row r="18" spans="1:3" ht="26.5" customHeight="1" x14ac:dyDescent="0.35">
      <c r="A18" s="397"/>
      <c r="B18" s="398" t="s">
        <v>167</v>
      </c>
      <c r="C18" s="397"/>
    </row>
    <row r="19" spans="1:3" ht="105" customHeight="1" x14ac:dyDescent="0.35">
      <c r="A19" s="397"/>
      <c r="B19" s="398" t="s">
        <v>168</v>
      </c>
      <c r="C19" s="397"/>
    </row>
    <row r="20" spans="1:3" ht="25.5" customHeight="1" x14ac:dyDescent="0.35">
      <c r="A20" s="397"/>
      <c r="B20" s="398" t="s">
        <v>169</v>
      </c>
      <c r="C20" s="397"/>
    </row>
    <row r="21" spans="1:3" ht="39.65" customHeight="1" x14ac:dyDescent="0.35">
      <c r="A21" s="397"/>
      <c r="B21" s="398" t="s">
        <v>170</v>
      </c>
      <c r="C21" s="397"/>
    </row>
    <row r="22" spans="1:3" ht="26.15" customHeight="1" x14ac:dyDescent="0.35">
      <c r="A22" s="397"/>
      <c r="B22" s="398" t="s">
        <v>171</v>
      </c>
      <c r="C22" s="397"/>
    </row>
    <row r="23" spans="1:3" ht="26.5" customHeight="1" x14ac:dyDescent="0.35">
      <c r="A23" s="397"/>
      <c r="B23" s="398" t="s">
        <v>172</v>
      </c>
      <c r="C23" s="397"/>
    </row>
    <row r="24" spans="1:3" ht="42.65" customHeight="1" x14ac:dyDescent="0.35">
      <c r="A24" s="397"/>
      <c r="B24" s="398" t="s">
        <v>1105</v>
      </c>
      <c r="C24" s="397"/>
    </row>
    <row r="25" spans="1:3" ht="35.25" customHeight="1" x14ac:dyDescent="0.35">
      <c r="A25" s="397"/>
      <c r="B25" s="398" t="s">
        <v>1028</v>
      </c>
      <c r="C25" s="397"/>
    </row>
    <row r="26" spans="1:3" ht="33" customHeight="1" x14ac:dyDescent="0.35">
      <c r="A26" s="397"/>
      <c r="B26" s="398" t="s">
        <v>173</v>
      </c>
      <c r="C26" s="397"/>
    </row>
    <row r="27" spans="1:3" ht="25" customHeight="1" x14ac:dyDescent="0.35">
      <c r="A27" s="397"/>
      <c r="B27" s="398" t="s">
        <v>174</v>
      </c>
      <c r="C27" s="397"/>
    </row>
    <row r="28" spans="1:3" ht="24" customHeight="1" x14ac:dyDescent="0.35">
      <c r="A28" s="397"/>
      <c r="B28" s="398" t="s">
        <v>175</v>
      </c>
      <c r="C28" s="397"/>
    </row>
    <row r="29" spans="1:3" ht="59.5" customHeight="1" x14ac:dyDescent="0.35">
      <c r="A29" s="397"/>
      <c r="B29" s="398" t="s">
        <v>176</v>
      </c>
      <c r="C29" s="397"/>
    </row>
    <row r="30" spans="1:3" ht="86.5" customHeight="1" x14ac:dyDescent="0.35">
      <c r="A30" s="397"/>
      <c r="B30" s="398" t="s">
        <v>177</v>
      </c>
      <c r="C30" s="397"/>
    </row>
    <row r="31" spans="1:3" ht="91.5" customHeight="1" x14ac:dyDescent="0.35">
      <c r="A31" s="397"/>
      <c r="B31" s="398" t="s">
        <v>178</v>
      </c>
      <c r="C31" s="397"/>
    </row>
    <row r="32" spans="1:3" ht="57" customHeight="1" x14ac:dyDescent="0.35">
      <c r="A32" s="397"/>
      <c r="B32" s="398" t="s">
        <v>179</v>
      </c>
      <c r="C32" s="397"/>
    </row>
    <row r="33" spans="1:3" ht="58" customHeight="1" x14ac:dyDescent="0.35">
      <c r="A33" s="397"/>
      <c r="B33" s="398" t="s">
        <v>180</v>
      </c>
      <c r="C33" s="397"/>
    </row>
    <row r="34" spans="1:3" ht="24" customHeight="1" x14ac:dyDescent="0.35">
      <c r="A34" s="397"/>
      <c r="B34" s="398" t="s">
        <v>181</v>
      </c>
      <c r="C34" s="397"/>
    </row>
    <row r="35" spans="1:3" ht="37" customHeight="1" x14ac:dyDescent="0.35">
      <c r="A35" s="397"/>
      <c r="B35" s="398" t="s">
        <v>182</v>
      </c>
      <c r="C35" s="397"/>
    </row>
    <row r="36" spans="1:3" ht="57" customHeight="1" x14ac:dyDescent="0.35">
      <c r="A36" s="397"/>
      <c r="B36" s="398" t="s">
        <v>183</v>
      </c>
      <c r="C36" s="397"/>
    </row>
    <row r="37" spans="1:3" ht="24.65" customHeight="1" x14ac:dyDescent="0.35">
      <c r="A37" s="397"/>
      <c r="B37" s="398" t="s">
        <v>184</v>
      </c>
      <c r="C37" s="397"/>
    </row>
    <row r="38" spans="1:3" ht="39.65" customHeight="1" x14ac:dyDescent="0.35">
      <c r="A38" s="397"/>
      <c r="B38" s="398" t="s">
        <v>185</v>
      </c>
      <c r="C38" s="397"/>
    </row>
    <row r="39" spans="1:3" ht="43" customHeight="1" x14ac:dyDescent="0.35">
      <c r="A39" s="397"/>
      <c r="B39" s="398" t="s">
        <v>186</v>
      </c>
      <c r="C39" s="397"/>
    </row>
    <row r="40" spans="1:3" ht="25.5" customHeight="1" x14ac:dyDescent="0.35">
      <c r="A40" s="397"/>
      <c r="B40" s="398" t="s">
        <v>187</v>
      </c>
      <c r="C40" s="397"/>
    </row>
    <row r="41" spans="1:3" ht="24.65" customHeight="1" x14ac:dyDescent="0.35">
      <c r="A41" s="397"/>
      <c r="B41" s="398" t="s">
        <v>188</v>
      </c>
      <c r="C41" s="397"/>
    </row>
    <row r="42" spans="1:3" ht="183" customHeight="1" x14ac:dyDescent="0.35">
      <c r="A42" s="397"/>
      <c r="B42" s="398" t="s">
        <v>189</v>
      </c>
      <c r="C42" s="397"/>
    </row>
    <row r="43" spans="1:3" ht="75" customHeight="1" x14ac:dyDescent="0.35">
      <c r="A43" s="397"/>
      <c r="B43" s="398" t="s">
        <v>190</v>
      </c>
      <c r="C43" s="397"/>
    </row>
    <row r="44" spans="1:3" ht="85" customHeight="1" x14ac:dyDescent="0.35">
      <c r="A44" s="397"/>
      <c r="B44" s="398" t="s">
        <v>191</v>
      </c>
      <c r="C44" s="397"/>
    </row>
    <row r="45" spans="1:3" ht="24.65" customHeight="1" x14ac:dyDescent="0.35">
      <c r="A45" s="397"/>
      <c r="B45" s="398" t="s">
        <v>192</v>
      </c>
      <c r="C45" s="397"/>
    </row>
    <row r="46" spans="1:3" ht="68.150000000000006" customHeight="1" x14ac:dyDescent="0.35">
      <c r="A46" s="397"/>
      <c r="B46" s="398" t="s">
        <v>193</v>
      </c>
      <c r="C46" s="397"/>
    </row>
    <row r="47" spans="1:3" ht="40.5" customHeight="1" x14ac:dyDescent="0.35">
      <c r="A47" s="397"/>
      <c r="B47" s="398" t="s">
        <v>194</v>
      </c>
      <c r="C47" s="397"/>
    </row>
    <row r="48" spans="1:3" x14ac:dyDescent="0.35">
      <c r="A48" s="397"/>
      <c r="B48" s="398"/>
      <c r="C48" s="397"/>
    </row>
    <row r="49" spans="1:3" x14ac:dyDescent="0.35">
      <c r="A49" s="397"/>
      <c r="B49" s="398"/>
      <c r="C49" s="397"/>
    </row>
  </sheetData>
  <sheetProtection algorithmName="SHA-512" hashValue="RXjTwrfzITHQ0RnOsjw62uMhNgKRVceHBZB9uCmGbqspYTjXp7Oqnj3kTuFFRZ2FOF1c0zu5Hy56AQoal19ZQg==" saltValue="7etn2qjV91pljpB6v++Hmg==" spinCount="100000" sheet="1" objects="1" scenarios="1" selectLockedCells="1"/>
  <pageMargins left="0.7" right="0.7" top="0.75" bottom="0.75" header="0.3" footer="0.3"/>
  <pageSetup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autoPageBreaks="0" fitToPage="1"/>
  </sheetPr>
  <dimension ref="B1:AL98"/>
  <sheetViews>
    <sheetView showGridLines="0" showRowColHeaders="0" zoomScaleNormal="100" workbookViewId="0">
      <selection activeCell="B3" sqref="B3:H3"/>
    </sheetView>
  </sheetViews>
  <sheetFormatPr defaultRowHeight="14.5" x14ac:dyDescent="0.35"/>
  <cols>
    <col min="1" max="1" width="4.7265625" customWidth="1"/>
    <col min="2" max="2" width="2.7265625" customWidth="1"/>
    <col min="3" max="3" width="5.1796875" customWidth="1"/>
    <col min="4" max="4" width="31.6328125" customWidth="1"/>
    <col min="5" max="5" width="10.6328125" style="505" customWidth="1"/>
    <col min="7" max="7" width="48.1796875" customWidth="1"/>
    <col min="8" max="8" width="3" customWidth="1"/>
    <col min="9" max="9" width="4.7265625" customWidth="1"/>
    <col min="10" max="38" width="8.7265625" style="346"/>
  </cols>
  <sheetData>
    <row r="1" spans="2:38" s="16" customFormat="1" x14ac:dyDescent="0.35">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row>
    <row r="2" spans="2:38" ht="25.5" customHeight="1" x14ac:dyDescent="0.35">
      <c r="B2" s="531" t="s">
        <v>909</v>
      </c>
      <c r="C2" s="531"/>
      <c r="D2" s="531"/>
      <c r="E2" s="531"/>
      <c r="F2" s="531"/>
      <c r="G2" s="531"/>
      <c r="H2" s="531"/>
    </row>
    <row r="3" spans="2:38" ht="18.649999999999999" customHeight="1" x14ac:dyDescent="0.35">
      <c r="B3" s="539" t="s">
        <v>893</v>
      </c>
      <c r="C3" s="540"/>
      <c r="D3" s="540"/>
      <c r="E3" s="540"/>
      <c r="F3" s="540"/>
      <c r="G3" s="540"/>
      <c r="H3" s="541"/>
    </row>
    <row r="4" spans="2:38" ht="26.5" customHeight="1" x14ac:dyDescent="0.35">
      <c r="B4" s="525" t="s">
        <v>906</v>
      </c>
      <c r="C4" s="525"/>
      <c r="D4" s="525"/>
      <c r="E4" s="525"/>
      <c r="F4" s="525"/>
      <c r="G4" s="525"/>
    </row>
    <row r="5" spans="2:38" ht="33" customHeight="1" x14ac:dyDescent="0.35">
      <c r="B5" s="333"/>
      <c r="C5" s="334" t="s">
        <v>894</v>
      </c>
      <c r="D5" s="526" t="s">
        <v>968</v>
      </c>
      <c r="E5" s="526"/>
      <c r="F5" s="526"/>
      <c r="G5" s="526"/>
    </row>
    <row r="6" spans="2:38" ht="22" customHeight="1" x14ac:dyDescent="0.35">
      <c r="B6" s="333"/>
      <c r="C6" s="334" t="s">
        <v>894</v>
      </c>
      <c r="D6" s="526" t="s">
        <v>969</v>
      </c>
      <c r="E6" s="526"/>
      <c r="F6" s="526"/>
      <c r="G6" s="526"/>
    </row>
    <row r="7" spans="2:38" ht="35.5" customHeight="1" x14ac:dyDescent="0.35">
      <c r="B7" s="333"/>
      <c r="C7" s="334" t="s">
        <v>894</v>
      </c>
      <c r="D7" s="526" t="s">
        <v>956</v>
      </c>
      <c r="E7" s="526"/>
      <c r="F7" s="526"/>
      <c r="G7" s="526"/>
    </row>
    <row r="8" spans="2:38" ht="18.649999999999999" customHeight="1" x14ac:dyDescent="0.35">
      <c r="B8" s="362"/>
      <c r="C8" s="334" t="s">
        <v>894</v>
      </c>
      <c r="D8" s="526" t="s">
        <v>966</v>
      </c>
      <c r="E8" s="526"/>
      <c r="F8" s="526"/>
      <c r="G8" s="526"/>
    </row>
    <row r="9" spans="2:38" ht="36" customHeight="1" x14ac:dyDescent="0.35">
      <c r="B9" s="333"/>
      <c r="C9" s="334" t="s">
        <v>894</v>
      </c>
      <c r="D9" s="526" t="s">
        <v>957</v>
      </c>
      <c r="E9" s="526"/>
      <c r="F9" s="526"/>
      <c r="G9" s="526"/>
    </row>
    <row r="10" spans="2:38" ht="34" customHeight="1" x14ac:dyDescent="0.35">
      <c r="B10" s="333"/>
      <c r="C10" s="334" t="s">
        <v>894</v>
      </c>
      <c r="D10" s="526" t="s">
        <v>958</v>
      </c>
      <c r="E10" s="526"/>
      <c r="F10" s="526"/>
      <c r="G10" s="526"/>
    </row>
    <row r="11" spans="2:38" ht="22.5" customHeight="1" x14ac:dyDescent="0.35">
      <c r="B11" s="332"/>
      <c r="C11" s="332"/>
      <c r="D11" s="527" t="s">
        <v>896</v>
      </c>
      <c r="E11" s="527"/>
      <c r="F11" s="527"/>
      <c r="G11" s="527"/>
    </row>
    <row r="12" spans="2:38" ht="46" customHeight="1" x14ac:dyDescent="0.35">
      <c r="B12" s="528" t="s">
        <v>898</v>
      </c>
      <c r="C12" s="528"/>
      <c r="D12" s="528"/>
      <c r="E12" s="528"/>
      <c r="F12" s="528"/>
      <c r="G12" s="528"/>
    </row>
    <row r="13" spans="2:38" ht="14.5" customHeight="1" x14ac:dyDescent="0.35">
      <c r="B13" s="529" t="s">
        <v>895</v>
      </c>
      <c r="C13" s="529"/>
      <c r="D13" s="529"/>
      <c r="E13" s="529"/>
      <c r="F13" s="529"/>
      <c r="G13" s="529"/>
    </row>
    <row r="14" spans="2:38" ht="14.5" customHeight="1" x14ac:dyDescent="0.35">
      <c r="B14" s="362"/>
      <c r="C14" s="334" t="s">
        <v>894</v>
      </c>
      <c r="D14" s="526" t="s">
        <v>965</v>
      </c>
      <c r="E14" s="526"/>
      <c r="F14" s="526"/>
      <c r="G14" s="526"/>
    </row>
    <row r="15" spans="2:38" ht="17.149999999999999" customHeight="1" x14ac:dyDescent="0.35">
      <c r="B15" s="333"/>
      <c r="C15" s="334" t="s">
        <v>894</v>
      </c>
      <c r="D15" s="526" t="s">
        <v>959</v>
      </c>
      <c r="E15" s="526"/>
      <c r="F15" s="526"/>
      <c r="G15" s="526"/>
    </row>
    <row r="16" spans="2:38" ht="17.5" customHeight="1" x14ac:dyDescent="0.35">
      <c r="B16" s="333"/>
      <c r="C16" s="334" t="s">
        <v>894</v>
      </c>
      <c r="D16" s="526" t="s">
        <v>960</v>
      </c>
      <c r="E16" s="526"/>
      <c r="F16" s="526"/>
      <c r="G16" s="526"/>
    </row>
    <row r="17" spans="2:38" ht="17.5" customHeight="1" x14ac:dyDescent="0.35">
      <c r="B17" s="333"/>
      <c r="C17" s="334" t="s">
        <v>894</v>
      </c>
      <c r="D17" s="526" t="s">
        <v>961</v>
      </c>
      <c r="E17" s="526"/>
      <c r="F17" s="526"/>
      <c r="G17" s="526"/>
    </row>
    <row r="18" spans="2:38" ht="14.5" customHeight="1" x14ac:dyDescent="0.35">
      <c r="B18" s="537" t="s">
        <v>970</v>
      </c>
      <c r="C18" s="537"/>
      <c r="D18" s="537"/>
      <c r="E18" s="537"/>
      <c r="F18" s="537"/>
      <c r="G18" s="537"/>
    </row>
    <row r="19" spans="2:38" ht="33" customHeight="1" x14ac:dyDescent="0.35">
      <c r="B19" s="333"/>
      <c r="C19" s="334" t="s">
        <v>894</v>
      </c>
      <c r="D19" s="526" t="s">
        <v>900</v>
      </c>
      <c r="E19" s="526"/>
      <c r="F19" s="526"/>
      <c r="G19" s="526"/>
    </row>
    <row r="20" spans="2:38" ht="61.5" customHeight="1" x14ac:dyDescent="0.35">
      <c r="B20" s="333"/>
      <c r="C20" s="334" t="s">
        <v>894</v>
      </c>
      <c r="D20" s="526" t="s">
        <v>901</v>
      </c>
      <c r="E20" s="526"/>
      <c r="F20" s="526"/>
      <c r="G20" s="526"/>
    </row>
    <row r="21" spans="2:38" ht="45" customHeight="1" x14ac:dyDescent="0.35">
      <c r="B21" s="333"/>
      <c r="C21" s="334" t="s">
        <v>894</v>
      </c>
      <c r="D21" s="526" t="s">
        <v>902</v>
      </c>
      <c r="E21" s="526"/>
      <c r="F21" s="526"/>
      <c r="G21" s="526"/>
    </row>
    <row r="22" spans="2:38" ht="73.5" customHeight="1" x14ac:dyDescent="0.35">
      <c r="B22" s="528" t="s">
        <v>899</v>
      </c>
      <c r="C22" s="528"/>
      <c r="D22" s="528"/>
      <c r="E22" s="528"/>
      <c r="F22" s="528"/>
      <c r="G22" s="528"/>
    </row>
    <row r="23" spans="2:38" s="492" customFormat="1" ht="14.5" customHeight="1" thickBot="1" x14ac:dyDescent="0.4">
      <c r="B23" s="491"/>
      <c r="C23" s="491"/>
      <c r="D23" s="491"/>
      <c r="E23" s="503"/>
      <c r="F23" s="491"/>
      <c r="G23" s="491"/>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row>
    <row r="24" spans="2:38" s="492" customFormat="1" ht="23.15" customHeight="1" thickTop="1" thickBot="1" x14ac:dyDescent="0.4">
      <c r="B24" s="491"/>
      <c r="C24" s="500"/>
      <c r="D24" s="497" t="s">
        <v>1079</v>
      </c>
      <c r="E24" s="497"/>
      <c r="F24" s="491"/>
      <c r="G24" s="491"/>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row>
    <row r="25" spans="2:38" s="492" customFormat="1" ht="15" thickTop="1" x14ac:dyDescent="0.35">
      <c r="B25" s="491"/>
      <c r="C25" s="491"/>
      <c r="D25" s="499" t="s">
        <v>1077</v>
      </c>
      <c r="E25" s="499"/>
      <c r="F25" s="491"/>
      <c r="G25" s="491"/>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row>
    <row r="26" spans="2:38" s="492" customFormat="1" x14ac:dyDescent="0.35">
      <c r="B26" s="491"/>
      <c r="C26" s="491"/>
      <c r="D26" s="545" t="s">
        <v>231</v>
      </c>
      <c r="E26" s="545"/>
      <c r="F26" s="542" t="s">
        <v>1078</v>
      </c>
      <c r="G26" s="542"/>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row>
    <row r="27" spans="2:38" s="492" customFormat="1" ht="17.5" customHeight="1" x14ac:dyDescent="0.35">
      <c r="B27" s="491"/>
      <c r="C27" s="491"/>
      <c r="D27" s="552"/>
      <c r="E27" s="553"/>
      <c r="F27" s="543"/>
      <c r="G27" s="543"/>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row>
    <row r="28" spans="2:38" s="492" customFormat="1" ht="17.5" customHeight="1" x14ac:dyDescent="0.35">
      <c r="B28" s="491"/>
      <c r="C28" s="491"/>
      <c r="D28" s="552"/>
      <c r="E28" s="553"/>
      <c r="F28" s="543"/>
      <c r="G28" s="543"/>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row>
    <row r="29" spans="2:38" s="492" customFormat="1" ht="17.5" customHeight="1" x14ac:dyDescent="0.35">
      <c r="B29" s="491"/>
      <c r="C29" s="491"/>
      <c r="D29" s="552"/>
      <c r="E29" s="553"/>
      <c r="F29" s="543"/>
      <c r="G29" s="543"/>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row>
    <row r="30" spans="2:38" s="492" customFormat="1" ht="30" customHeight="1" x14ac:dyDescent="0.35">
      <c r="B30" s="491"/>
      <c r="C30" s="491"/>
      <c r="D30" s="544" t="s">
        <v>1080</v>
      </c>
      <c r="E30" s="544"/>
      <c r="F30" s="544"/>
      <c r="G30" s="544"/>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row>
    <row r="31" spans="2:38" s="492" customFormat="1" x14ac:dyDescent="0.35">
      <c r="B31" s="491"/>
      <c r="C31" s="491"/>
      <c r="D31" s="554" t="s">
        <v>1083</v>
      </c>
      <c r="E31" s="554"/>
      <c r="F31" s="554"/>
      <c r="G31" s="554"/>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row>
    <row r="32" spans="2:38" s="492" customFormat="1" ht="31.5" customHeight="1" x14ac:dyDescent="0.35">
      <c r="B32" s="491"/>
      <c r="C32" s="491"/>
      <c r="D32" s="555" t="s">
        <v>1081</v>
      </c>
      <c r="E32" s="555"/>
      <c r="F32" s="555"/>
      <c r="G32" s="555"/>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row>
    <row r="33" spans="2:38" s="492" customFormat="1" x14ac:dyDescent="0.35">
      <c r="B33" s="491"/>
      <c r="C33" s="491"/>
      <c r="D33" s="519" t="s">
        <v>1082</v>
      </c>
      <c r="E33" s="516"/>
      <c r="F33" s="498"/>
      <c r="G33" s="498"/>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row>
    <row r="34" spans="2:38" ht="36" customHeight="1" thickBot="1" x14ac:dyDescent="0.4">
      <c r="B34" s="536" t="s">
        <v>897</v>
      </c>
      <c r="C34" s="536"/>
      <c r="D34" s="536"/>
      <c r="E34" s="536"/>
      <c r="F34" s="536"/>
      <c r="G34" s="536"/>
    </row>
    <row r="35" spans="2:38" ht="51.65" customHeight="1" thickTop="1" x14ac:dyDescent="0.35">
      <c r="B35" s="337"/>
      <c r="C35" s="532" t="s">
        <v>937</v>
      </c>
      <c r="D35" s="533"/>
      <c r="E35" s="533"/>
      <c r="F35" s="533"/>
      <c r="G35" s="533"/>
      <c r="H35" s="338"/>
    </row>
    <row r="36" spans="2:38" ht="9" customHeight="1" thickBot="1" x14ac:dyDescent="0.4">
      <c r="B36" s="339"/>
      <c r="C36" s="16"/>
      <c r="D36" s="16"/>
      <c r="E36" s="16"/>
      <c r="F36" s="16"/>
      <c r="G36" s="16"/>
      <c r="H36" s="340"/>
    </row>
    <row r="37" spans="2:38" ht="22.5" customHeight="1" thickTop="1" thickBot="1" x14ac:dyDescent="0.4">
      <c r="B37" s="339"/>
      <c r="C37" s="351"/>
      <c r="D37" s="534" t="s">
        <v>971</v>
      </c>
      <c r="E37" s="534"/>
      <c r="F37" s="534"/>
      <c r="G37" s="534"/>
      <c r="H37" s="340"/>
    </row>
    <row r="38" spans="2:38" ht="35" customHeight="1" thickTop="1" x14ac:dyDescent="0.35">
      <c r="B38" s="339"/>
      <c r="C38" s="16"/>
      <c r="D38" s="535" t="s">
        <v>972</v>
      </c>
      <c r="E38" s="535"/>
      <c r="F38" s="535"/>
      <c r="G38" s="535"/>
      <c r="H38" s="340"/>
    </row>
    <row r="39" spans="2:38" ht="15.65" customHeight="1" thickBot="1" x14ac:dyDescent="0.4">
      <c r="B39" s="339"/>
      <c r="C39" s="335" t="s">
        <v>1106</v>
      </c>
      <c r="D39" s="280"/>
      <c r="E39" s="504"/>
      <c r="F39" s="16"/>
      <c r="G39" s="335" t="s">
        <v>1113</v>
      </c>
      <c r="H39" s="340"/>
    </row>
    <row r="40" spans="2:38" s="505" customFormat="1" ht="17.149999999999999" customHeight="1" thickBot="1" x14ac:dyDescent="0.4">
      <c r="B40" s="339"/>
      <c r="C40" s="520" t="s">
        <v>1107</v>
      </c>
      <c r="D40" s="517"/>
      <c r="E40" s="521" t="s">
        <v>1110</v>
      </c>
      <c r="F40" s="29"/>
      <c r="G40" s="549"/>
      <c r="H40" s="340"/>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row>
    <row r="41" spans="2:38" s="505" customFormat="1" ht="17.149999999999999" customHeight="1" thickBot="1" x14ac:dyDescent="0.4">
      <c r="B41" s="339"/>
      <c r="C41" s="520" t="s">
        <v>1108</v>
      </c>
      <c r="D41" s="518" t="s">
        <v>1112</v>
      </c>
      <c r="E41" s="521" t="s">
        <v>1111</v>
      </c>
      <c r="F41" s="29"/>
      <c r="G41" s="550"/>
      <c r="H41" s="340"/>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row>
    <row r="42" spans="2:38" ht="17.149999999999999" customHeight="1" thickBot="1" x14ac:dyDescent="0.4">
      <c r="B42" s="339"/>
      <c r="C42" s="520" t="s">
        <v>1109</v>
      </c>
      <c r="D42" s="518" t="s">
        <v>1112</v>
      </c>
      <c r="E42" s="521" t="s">
        <v>1111</v>
      </c>
      <c r="F42" s="29"/>
      <c r="G42" s="551"/>
      <c r="H42" s="340"/>
    </row>
    <row r="43" spans="2:38" ht="17.149999999999999" customHeight="1" thickBot="1" x14ac:dyDescent="0.4">
      <c r="B43" s="339"/>
      <c r="C43" s="335" t="s">
        <v>905</v>
      </c>
      <c r="D43" s="280"/>
      <c r="E43" s="504"/>
      <c r="F43" s="16"/>
      <c r="G43" s="335" t="s">
        <v>45</v>
      </c>
      <c r="H43" s="340"/>
    </row>
    <row r="44" spans="2:38" ht="17.149999999999999" customHeight="1" thickBot="1" x14ac:dyDescent="0.4">
      <c r="B44" s="339"/>
      <c r="C44" s="546"/>
      <c r="D44" s="547"/>
      <c r="E44" s="548"/>
      <c r="F44" s="16"/>
      <c r="G44" s="350"/>
      <c r="H44" s="340"/>
    </row>
    <row r="45" spans="2:38" ht="17.149999999999999" customHeight="1" thickBot="1" x14ac:dyDescent="0.4">
      <c r="B45" s="339"/>
      <c r="C45" s="335" t="s">
        <v>904</v>
      </c>
      <c r="D45" s="280"/>
      <c r="E45" s="504"/>
      <c r="F45" s="16"/>
      <c r="G45" s="335" t="s">
        <v>903</v>
      </c>
      <c r="H45" s="340"/>
    </row>
    <row r="46" spans="2:38" ht="17.149999999999999" customHeight="1" thickBot="1" x14ac:dyDescent="0.4">
      <c r="B46" s="339"/>
      <c r="C46" s="546"/>
      <c r="D46" s="547"/>
      <c r="E46" s="548"/>
      <c r="F46" s="16"/>
      <c r="G46" s="350"/>
      <c r="H46" s="340"/>
    </row>
    <row r="47" spans="2:38" s="336" customFormat="1" ht="30" customHeight="1" x14ac:dyDescent="0.3">
      <c r="B47" s="341"/>
      <c r="C47" s="538" t="s">
        <v>973</v>
      </c>
      <c r="D47" s="538"/>
      <c r="E47" s="538"/>
      <c r="F47" s="538"/>
      <c r="G47" s="538"/>
      <c r="H47" s="342"/>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row>
    <row r="48" spans="2:38" ht="9.65" customHeight="1" thickBot="1" x14ac:dyDescent="0.4">
      <c r="B48" s="343"/>
      <c r="C48" s="344"/>
      <c r="D48" s="344"/>
      <c r="E48" s="344"/>
      <c r="F48" s="344"/>
      <c r="G48" s="344"/>
      <c r="H48" s="345"/>
    </row>
    <row r="49" spans="2:38" ht="9" customHeight="1" thickTop="1" x14ac:dyDescent="0.35"/>
    <row r="50" spans="2:38" s="290" customFormat="1" x14ac:dyDescent="0.35">
      <c r="B50" s="290" t="s">
        <v>908</v>
      </c>
      <c r="G50" s="530" t="s">
        <v>936</v>
      </c>
      <c r="H50" s="530"/>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row>
    <row r="51" spans="2:38" s="290" customFormat="1" x14ac:dyDescent="0.35">
      <c r="B51" s="290" t="s">
        <v>1114</v>
      </c>
      <c r="G51" s="530" t="s">
        <v>935</v>
      </c>
      <c r="H51" s="530"/>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row>
    <row r="52" spans="2:38" s="290" customFormat="1" x14ac:dyDescent="0.35">
      <c r="B52" s="290" t="s">
        <v>907</v>
      </c>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row>
    <row r="54" spans="2:38" s="346" customFormat="1" x14ac:dyDescent="0.35"/>
    <row r="55" spans="2:38" s="346" customFormat="1" x14ac:dyDescent="0.35"/>
    <row r="56" spans="2:38" s="346" customFormat="1" x14ac:dyDescent="0.35"/>
    <row r="57" spans="2:38" s="346" customFormat="1" x14ac:dyDescent="0.35"/>
    <row r="58" spans="2:38" s="346" customFormat="1" x14ac:dyDescent="0.35"/>
    <row r="59" spans="2:38" s="346" customFormat="1" x14ac:dyDescent="0.35"/>
    <row r="60" spans="2:38" s="346" customFormat="1" x14ac:dyDescent="0.35"/>
    <row r="61" spans="2:38" s="346" customFormat="1" x14ac:dyDescent="0.35"/>
    <row r="62" spans="2:38" s="346" customFormat="1" x14ac:dyDescent="0.35"/>
    <row r="63" spans="2:38" s="346" customFormat="1" x14ac:dyDescent="0.35"/>
    <row r="64" spans="2:38" s="346" customFormat="1" x14ac:dyDescent="0.35"/>
    <row r="65" s="346" customFormat="1" x14ac:dyDescent="0.35"/>
    <row r="66" s="346" customFormat="1" x14ac:dyDescent="0.35"/>
    <row r="67" s="346" customFormat="1" x14ac:dyDescent="0.35"/>
    <row r="68" s="346" customFormat="1" x14ac:dyDescent="0.35"/>
    <row r="69" s="346" customFormat="1" x14ac:dyDescent="0.35"/>
    <row r="70" s="346" customFormat="1" x14ac:dyDescent="0.35"/>
    <row r="71" s="346" customFormat="1" x14ac:dyDescent="0.35"/>
    <row r="72" s="346" customFormat="1" x14ac:dyDescent="0.35"/>
    <row r="73" s="346" customFormat="1" x14ac:dyDescent="0.35"/>
    <row r="74" s="346" customFormat="1" x14ac:dyDescent="0.35"/>
    <row r="75" s="346" customFormat="1" x14ac:dyDescent="0.35"/>
    <row r="76" s="346" customFormat="1" x14ac:dyDescent="0.35"/>
    <row r="77" s="346" customFormat="1" x14ac:dyDescent="0.35"/>
    <row r="78" s="346" customFormat="1" x14ac:dyDescent="0.35"/>
    <row r="79" s="346" customFormat="1" x14ac:dyDescent="0.35"/>
    <row r="80" s="346" customFormat="1" x14ac:dyDescent="0.35"/>
    <row r="81" s="346" customFormat="1" x14ac:dyDescent="0.35"/>
    <row r="82" s="346" customFormat="1" x14ac:dyDescent="0.35"/>
    <row r="83" s="346" customFormat="1" x14ac:dyDescent="0.35"/>
    <row r="84" s="346" customFormat="1" x14ac:dyDescent="0.35"/>
    <row r="85" s="346" customFormat="1" x14ac:dyDescent="0.35"/>
    <row r="86" s="346" customFormat="1" x14ac:dyDescent="0.35"/>
    <row r="87" s="346" customFormat="1" x14ac:dyDescent="0.35"/>
    <row r="88" s="346" customFormat="1" x14ac:dyDescent="0.35"/>
    <row r="89" s="346" customFormat="1" x14ac:dyDescent="0.35"/>
    <row r="90" s="346" customFormat="1" x14ac:dyDescent="0.35"/>
    <row r="91" s="346" customFormat="1" x14ac:dyDescent="0.35"/>
    <row r="92" s="346" customFormat="1" x14ac:dyDescent="0.35"/>
    <row r="93" s="346" customFormat="1" x14ac:dyDescent="0.35"/>
    <row r="94" s="346" customFormat="1" x14ac:dyDescent="0.35"/>
    <row r="95" s="346" customFormat="1" x14ac:dyDescent="0.35"/>
    <row r="96" s="346" customFormat="1" x14ac:dyDescent="0.35"/>
    <row r="97" s="346" customFormat="1" x14ac:dyDescent="0.35"/>
    <row r="98" s="346" customFormat="1" x14ac:dyDescent="0.35"/>
  </sheetData>
  <sheetProtection algorithmName="SHA-512" hashValue="RwozDQMJXauLBk+NHzRAuxyQppdBlUEDfiTvYACP4JxpSlouV7+r0Bjlc9RFs2XDqupadCUSG/YFbMwKyWZmHw==" saltValue="DPtpAX8i4ly9FxyPd/1NRA==" spinCount="100000" sheet="1" objects="1" scenarios="1" selectLockedCells="1"/>
  <mergeCells count="42">
    <mergeCell ref="C44:E44"/>
    <mergeCell ref="C46:E46"/>
    <mergeCell ref="G40:G42"/>
    <mergeCell ref="D27:E27"/>
    <mergeCell ref="D28:E28"/>
    <mergeCell ref="D29:E29"/>
    <mergeCell ref="D31:G31"/>
    <mergeCell ref="D32:G32"/>
    <mergeCell ref="F26:G26"/>
    <mergeCell ref="F27:G27"/>
    <mergeCell ref="F28:G28"/>
    <mergeCell ref="F29:G29"/>
    <mergeCell ref="D30:G30"/>
    <mergeCell ref="D26:E26"/>
    <mergeCell ref="G51:H51"/>
    <mergeCell ref="B2:H2"/>
    <mergeCell ref="D21:G21"/>
    <mergeCell ref="B22:G22"/>
    <mergeCell ref="C35:G35"/>
    <mergeCell ref="D37:G37"/>
    <mergeCell ref="D38:G38"/>
    <mergeCell ref="B34:G34"/>
    <mergeCell ref="D15:G15"/>
    <mergeCell ref="D16:G16"/>
    <mergeCell ref="D17:G17"/>
    <mergeCell ref="B18:G18"/>
    <mergeCell ref="D19:G19"/>
    <mergeCell ref="G50:H50"/>
    <mergeCell ref="C47:G47"/>
    <mergeCell ref="B3:H3"/>
    <mergeCell ref="B4:G4"/>
    <mergeCell ref="D5:G5"/>
    <mergeCell ref="D6:G6"/>
    <mergeCell ref="D20:G20"/>
    <mergeCell ref="D7:G7"/>
    <mergeCell ref="D9:G9"/>
    <mergeCell ref="D10:G10"/>
    <mergeCell ref="D11:G11"/>
    <mergeCell ref="B12:G12"/>
    <mergeCell ref="B13:G13"/>
    <mergeCell ref="D14:G14"/>
    <mergeCell ref="D8:G8"/>
  </mergeCells>
  <hyperlinks>
    <hyperlink ref="D11" r:id="rId1" display="Click Here for a Blank W-9 Form" xr:uid="{00000000-0004-0000-0200-000000000000}"/>
    <hyperlink ref="B13:D13" r:id="rId2" display="AmerenIllinoisSavings.com/forms" xr:uid="{00000000-0004-0000-0200-000001000000}"/>
    <hyperlink ref="G51" r:id="rId3" display="IllinoisBusinessEE@ameren.com" xr:uid="{00000000-0004-0000-0200-000002000000}"/>
    <hyperlink ref="G50:H50" r:id="rId4" display="Submit applications to: IllinoisBusinessProjects@ameren.com" xr:uid="{00000000-0004-0000-0200-000003000000}"/>
    <hyperlink ref="D31:G31" r:id="rId5" display="http://www.buildingclean.org/" xr:uid="{06C02AB0-4B8D-44D1-BDD4-C3156A698336}"/>
    <hyperlink ref="D33" r:id="rId6" xr:uid="{61EFDF7B-4C66-4C2D-ADD7-61E9D065DAC6}"/>
  </hyperlinks>
  <pageMargins left="0.7" right="0.7" top="0.5" bottom="0.25" header="0.05" footer="0.05"/>
  <pageSetup orientation="portrait" horizontalDpi="1200" verticalDpi="1200" r:id="rId7"/>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drawing r:id="rId8"/>
  <legacyDrawing r:id="rId9"/>
  <mc:AlternateContent xmlns:mc="http://schemas.openxmlformats.org/markup-compatibility/2006">
    <mc:Choice Requires="x14">
      <controls>
        <mc:AlternateContent xmlns:mc="http://schemas.openxmlformats.org/markup-compatibility/2006">
          <mc:Choice Requires="x14">
            <control shapeId="19457" r:id="rId10" name="Check Box 1">
              <controlPr defaultSize="0" autoFill="0" autoLine="0" autoPict="0">
                <anchor moveWithCells="1">
                  <from>
                    <xdr:col>3</xdr:col>
                    <xdr:colOff>184150</xdr:colOff>
                    <xdr:row>39</xdr:row>
                    <xdr:rowOff>203200</xdr:rowOff>
                  </from>
                  <to>
                    <xdr:col>3</xdr:col>
                    <xdr:colOff>406400</xdr:colOff>
                    <xdr:row>41</xdr:row>
                    <xdr:rowOff>6350</xdr:rowOff>
                  </to>
                </anchor>
              </controlPr>
            </control>
          </mc:Choice>
        </mc:AlternateContent>
        <mc:AlternateContent xmlns:mc="http://schemas.openxmlformats.org/markup-compatibility/2006">
          <mc:Choice Requires="x14">
            <control shapeId="19459" r:id="rId11" name="Check Box 3">
              <controlPr defaultSize="0" autoFill="0" autoLine="0" autoPict="0">
                <anchor moveWithCells="1">
                  <from>
                    <xdr:col>3</xdr:col>
                    <xdr:colOff>615950</xdr:colOff>
                    <xdr:row>39</xdr:row>
                    <xdr:rowOff>196850</xdr:rowOff>
                  </from>
                  <to>
                    <xdr:col>3</xdr:col>
                    <xdr:colOff>844550</xdr:colOff>
                    <xdr:row>41</xdr:row>
                    <xdr:rowOff>6350</xdr:rowOff>
                  </to>
                </anchor>
              </controlPr>
            </control>
          </mc:Choice>
        </mc:AlternateContent>
        <mc:AlternateContent xmlns:mc="http://schemas.openxmlformats.org/markup-compatibility/2006">
          <mc:Choice Requires="x14">
            <control shapeId="19460" r:id="rId12" name="Check Box 4">
              <controlPr defaultSize="0" autoFill="0" autoLine="0" autoPict="0">
                <anchor moveWithCells="1">
                  <from>
                    <xdr:col>3</xdr:col>
                    <xdr:colOff>1130300</xdr:colOff>
                    <xdr:row>39</xdr:row>
                    <xdr:rowOff>203200</xdr:rowOff>
                  </from>
                  <to>
                    <xdr:col>3</xdr:col>
                    <xdr:colOff>1358900</xdr:colOff>
                    <xdr:row>41</xdr:row>
                    <xdr:rowOff>6350</xdr:rowOff>
                  </to>
                </anchor>
              </controlPr>
            </control>
          </mc:Choice>
        </mc:AlternateContent>
        <mc:AlternateContent xmlns:mc="http://schemas.openxmlformats.org/markup-compatibility/2006">
          <mc:Choice Requires="x14">
            <control shapeId="19461" r:id="rId13" name="Check Box 5">
              <controlPr defaultSize="0" autoFill="0" autoLine="0" autoPict="0">
                <anchor moveWithCells="1">
                  <from>
                    <xdr:col>3</xdr:col>
                    <xdr:colOff>1593850</xdr:colOff>
                    <xdr:row>39</xdr:row>
                    <xdr:rowOff>203200</xdr:rowOff>
                  </from>
                  <to>
                    <xdr:col>3</xdr:col>
                    <xdr:colOff>1828800</xdr:colOff>
                    <xdr:row>40</xdr:row>
                    <xdr:rowOff>215900</xdr:rowOff>
                  </to>
                </anchor>
              </controlPr>
            </control>
          </mc:Choice>
        </mc:AlternateContent>
        <mc:AlternateContent xmlns:mc="http://schemas.openxmlformats.org/markup-compatibility/2006">
          <mc:Choice Requires="x14">
            <control shapeId="19462" r:id="rId14" name="Check Box 6">
              <controlPr defaultSize="0" autoFill="0" autoLine="0" autoPict="0">
                <anchor moveWithCells="1">
                  <from>
                    <xdr:col>3</xdr:col>
                    <xdr:colOff>1587500</xdr:colOff>
                    <xdr:row>40</xdr:row>
                    <xdr:rowOff>203200</xdr:rowOff>
                  </from>
                  <to>
                    <xdr:col>3</xdr:col>
                    <xdr:colOff>1816100</xdr:colOff>
                    <xdr:row>42</xdr:row>
                    <xdr:rowOff>6350</xdr:rowOff>
                  </to>
                </anchor>
              </controlPr>
            </control>
          </mc:Choice>
        </mc:AlternateContent>
        <mc:AlternateContent xmlns:mc="http://schemas.openxmlformats.org/markup-compatibility/2006">
          <mc:Choice Requires="x14">
            <control shapeId="19463" r:id="rId15" name="Check Box 7">
              <controlPr defaultSize="0" autoFill="0" autoLine="0" autoPict="0">
                <anchor moveWithCells="1">
                  <from>
                    <xdr:col>3</xdr:col>
                    <xdr:colOff>1130300</xdr:colOff>
                    <xdr:row>40</xdr:row>
                    <xdr:rowOff>190500</xdr:rowOff>
                  </from>
                  <to>
                    <xdr:col>3</xdr:col>
                    <xdr:colOff>1358900</xdr:colOff>
                    <xdr:row>42</xdr:row>
                    <xdr:rowOff>6350</xdr:rowOff>
                  </to>
                </anchor>
              </controlPr>
            </control>
          </mc:Choice>
        </mc:AlternateContent>
        <mc:AlternateContent xmlns:mc="http://schemas.openxmlformats.org/markup-compatibility/2006">
          <mc:Choice Requires="x14">
            <control shapeId="19464" r:id="rId16" name="Check Box 8">
              <controlPr defaultSize="0" autoFill="0" autoLine="0" autoPict="0">
                <anchor moveWithCells="1">
                  <from>
                    <xdr:col>3</xdr:col>
                    <xdr:colOff>609600</xdr:colOff>
                    <xdr:row>40</xdr:row>
                    <xdr:rowOff>203200</xdr:rowOff>
                  </from>
                  <to>
                    <xdr:col>3</xdr:col>
                    <xdr:colOff>819150</xdr:colOff>
                    <xdr:row>42</xdr:row>
                    <xdr:rowOff>6350</xdr:rowOff>
                  </to>
                </anchor>
              </controlPr>
            </control>
          </mc:Choice>
        </mc:AlternateContent>
        <mc:AlternateContent xmlns:mc="http://schemas.openxmlformats.org/markup-compatibility/2006">
          <mc:Choice Requires="x14">
            <control shapeId="19465" r:id="rId17" name="Check Box 9">
              <controlPr defaultSize="0" autoFill="0" autoLine="0" autoPict="0">
                <anchor moveWithCells="1">
                  <from>
                    <xdr:col>3</xdr:col>
                    <xdr:colOff>184150</xdr:colOff>
                    <xdr:row>40</xdr:row>
                    <xdr:rowOff>215900</xdr:rowOff>
                  </from>
                  <to>
                    <xdr:col>3</xdr:col>
                    <xdr:colOff>400050</xdr:colOff>
                    <xdr:row>41</xdr:row>
                    <xdr:rowOff>215900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pageSetUpPr autoPageBreaks="0"/>
  </sheetPr>
  <dimension ref="A2:P67"/>
  <sheetViews>
    <sheetView showGridLines="0" showRowColHeaders="0" zoomScale="96" zoomScaleNormal="100" workbookViewId="0">
      <selection activeCell="B5" sqref="B5:C5"/>
    </sheetView>
  </sheetViews>
  <sheetFormatPr defaultColWidth="8.7265625" defaultRowHeight="14.5" x14ac:dyDescent="0.35"/>
  <cols>
    <col min="1" max="1" width="8.7265625" style="1"/>
    <col min="2" max="2" width="40.453125" style="58" customWidth="1"/>
    <col min="3" max="3" width="8.7265625" style="58"/>
    <col min="4" max="4" width="4.54296875" style="58" customWidth="1"/>
    <col min="5" max="5" width="12.54296875" style="58" customWidth="1"/>
    <col min="6" max="6" width="10.1796875" style="58" customWidth="1"/>
    <col min="7" max="7" width="7.1796875" style="58" customWidth="1"/>
    <col min="8" max="8" width="16" style="58" customWidth="1"/>
    <col min="9" max="9" width="8.7265625" style="1"/>
    <col min="10" max="10" width="8.7265625" style="1" hidden="1" customWidth="1"/>
    <col min="11" max="11" width="41.81640625" style="1" hidden="1" customWidth="1"/>
    <col min="12" max="12" width="3.26953125" style="1" hidden="1" customWidth="1"/>
    <col min="13" max="13" width="40.54296875" style="1" hidden="1" customWidth="1"/>
    <col min="14" max="14" width="3.7265625" style="1" hidden="1" customWidth="1"/>
    <col min="15" max="15" width="20" style="1" hidden="1" customWidth="1"/>
    <col min="16" max="16" width="11.90625" style="1" hidden="1" customWidth="1"/>
    <col min="17" max="17" width="8.7265625" style="1" customWidth="1"/>
    <col min="18" max="16384" width="8.7265625" style="1"/>
  </cols>
  <sheetData>
    <row r="2" spans="2:16" ht="16.5" customHeight="1" x14ac:dyDescent="0.35">
      <c r="B2" s="575" t="s">
        <v>125</v>
      </c>
      <c r="C2" s="575"/>
      <c r="D2" s="575"/>
      <c r="E2" s="575"/>
      <c r="F2" s="575"/>
      <c r="G2" s="575"/>
      <c r="H2" s="575"/>
    </row>
    <row r="3" spans="2:16" ht="18.649999999999999" customHeight="1" x14ac:dyDescent="0.35">
      <c r="B3" s="576" t="s">
        <v>126</v>
      </c>
      <c r="C3" s="577"/>
      <c r="D3" s="577"/>
      <c r="E3" s="577"/>
      <c r="F3" s="577"/>
      <c r="G3" s="577"/>
      <c r="H3" s="578"/>
      <c r="K3" s="61" t="s">
        <v>217</v>
      </c>
      <c r="M3" s="1" t="s">
        <v>227</v>
      </c>
      <c r="O3" s="122" t="s">
        <v>585</v>
      </c>
      <c r="P3" s="1" t="s">
        <v>476</v>
      </c>
    </row>
    <row r="4" spans="2:16" ht="17.149999999999999" customHeight="1" thickBot="1" x14ac:dyDescent="0.4">
      <c r="B4" s="60" t="s">
        <v>39</v>
      </c>
      <c r="C4" s="59"/>
      <c r="D4" s="603" t="s">
        <v>124</v>
      </c>
      <c r="E4" s="603"/>
      <c r="F4" s="603"/>
      <c r="G4" s="603"/>
      <c r="H4" s="603"/>
      <c r="K4" s="69" t="s">
        <v>148</v>
      </c>
      <c r="M4" s="69" t="s">
        <v>148</v>
      </c>
      <c r="O4" s="69" t="s">
        <v>148</v>
      </c>
      <c r="P4" s="79" t="s">
        <v>740</v>
      </c>
    </row>
    <row r="5" spans="2:16" s="68" customFormat="1" ht="17.149999999999999" customHeight="1" thickBot="1" x14ac:dyDescent="0.35">
      <c r="B5" s="564"/>
      <c r="C5" s="598"/>
      <c r="D5" s="66"/>
      <c r="E5" s="67" t="s">
        <v>119</v>
      </c>
      <c r="F5" s="599"/>
      <c r="G5" s="600"/>
      <c r="H5" s="601"/>
      <c r="K5" s="69" t="s">
        <v>56</v>
      </c>
      <c r="M5" s="69" t="s">
        <v>199</v>
      </c>
      <c r="O5" s="69" t="s">
        <v>977</v>
      </c>
      <c r="P5" s="69" t="s">
        <v>591</v>
      </c>
    </row>
    <row r="6" spans="2:16" s="68" customFormat="1" ht="19" customHeight="1" thickBot="1" x14ac:dyDescent="0.35">
      <c r="B6" s="602" t="s">
        <v>121</v>
      </c>
      <c r="C6" s="602"/>
      <c r="D6" s="602"/>
      <c r="E6" s="67" t="s">
        <v>120</v>
      </c>
      <c r="F6" s="599"/>
      <c r="G6" s="600"/>
      <c r="H6" s="601"/>
      <c r="K6" s="69" t="s">
        <v>128</v>
      </c>
      <c r="M6" s="69" t="s">
        <v>200</v>
      </c>
      <c r="O6" s="69" t="s">
        <v>588</v>
      </c>
      <c r="P6" s="69" t="s">
        <v>590</v>
      </c>
    </row>
    <row r="7" spans="2:16" ht="17.5" customHeight="1" x14ac:dyDescent="0.35">
      <c r="B7" s="561" t="s">
        <v>118</v>
      </c>
      <c r="C7" s="561"/>
      <c r="F7" s="62"/>
      <c r="G7" s="62"/>
      <c r="H7" s="62"/>
      <c r="M7" s="69" t="s">
        <v>201</v>
      </c>
      <c r="O7" s="69" t="s">
        <v>587</v>
      </c>
      <c r="P7" s="69" t="s">
        <v>590</v>
      </c>
    </row>
    <row r="8" spans="2:16" s="61" customFormat="1" ht="17.149999999999999" customHeight="1" thickBot="1" x14ac:dyDescent="0.4">
      <c r="B8" s="583" t="s">
        <v>40</v>
      </c>
      <c r="C8" s="583"/>
      <c r="D8" s="583"/>
      <c r="E8" s="583" t="s">
        <v>41</v>
      </c>
      <c r="F8" s="583"/>
      <c r="G8" s="60" t="s">
        <v>42</v>
      </c>
      <c r="H8" s="60" t="s">
        <v>43</v>
      </c>
      <c r="M8" s="69" t="s">
        <v>202</v>
      </c>
      <c r="O8" s="69" t="s">
        <v>589</v>
      </c>
      <c r="P8" s="69" t="s">
        <v>591</v>
      </c>
    </row>
    <row r="9" spans="2:16" s="68" customFormat="1" ht="17.149999999999999" customHeight="1" thickBot="1" x14ac:dyDescent="0.35">
      <c r="B9" s="564"/>
      <c r="C9" s="565"/>
      <c r="D9" s="565"/>
      <c r="E9" s="604"/>
      <c r="F9" s="605"/>
      <c r="G9" s="137"/>
      <c r="H9" s="137"/>
      <c r="K9" s="68" t="s">
        <v>224</v>
      </c>
      <c r="M9" s="69" t="s">
        <v>138</v>
      </c>
      <c r="O9" s="69" t="s">
        <v>586</v>
      </c>
      <c r="P9" s="69" t="s">
        <v>590</v>
      </c>
    </row>
    <row r="10" spans="2:16" s="61" customFormat="1" ht="23.5" customHeight="1" thickBot="1" x14ac:dyDescent="0.4">
      <c r="B10" s="567" t="s">
        <v>44</v>
      </c>
      <c r="C10" s="567"/>
      <c r="D10" s="567" t="s">
        <v>45</v>
      </c>
      <c r="E10" s="567"/>
      <c r="F10" s="567"/>
      <c r="G10" s="567"/>
      <c r="H10" s="567"/>
      <c r="K10" s="69" t="s">
        <v>149</v>
      </c>
      <c r="M10" s="69" t="s">
        <v>132</v>
      </c>
      <c r="O10" s="69" t="s">
        <v>1084</v>
      </c>
      <c r="P10" s="69" t="s">
        <v>591</v>
      </c>
    </row>
    <row r="11" spans="2:16" s="68" customFormat="1" ht="17.149999999999999" customHeight="1" thickBot="1" x14ac:dyDescent="0.35">
      <c r="B11" s="564"/>
      <c r="C11" s="566"/>
      <c r="D11" s="564"/>
      <c r="E11" s="565"/>
      <c r="F11" s="565"/>
      <c r="G11" s="565"/>
      <c r="H11" s="566"/>
      <c r="K11" s="69" t="s">
        <v>143</v>
      </c>
      <c r="M11" s="69" t="s">
        <v>203</v>
      </c>
      <c r="O11" s="79" t="s">
        <v>1085</v>
      </c>
      <c r="P11" s="79" t="s">
        <v>591</v>
      </c>
    </row>
    <row r="12" spans="2:16" s="61" customFormat="1" ht="23.5" customHeight="1" thickBot="1" x14ac:dyDescent="0.4">
      <c r="B12" s="60" t="s">
        <v>46</v>
      </c>
      <c r="C12" s="586" t="s">
        <v>122</v>
      </c>
      <c r="D12" s="586"/>
      <c r="E12" s="586"/>
      <c r="F12" s="60" t="s">
        <v>47</v>
      </c>
      <c r="G12" s="586" t="s">
        <v>123</v>
      </c>
      <c r="H12" s="586"/>
      <c r="K12" s="69" t="s">
        <v>144</v>
      </c>
      <c r="M12" s="69" t="s">
        <v>204</v>
      </c>
      <c r="O12" s="79" t="s">
        <v>650</v>
      </c>
      <c r="P12" s="79" t="s">
        <v>591</v>
      </c>
    </row>
    <row r="13" spans="2:16" s="68" customFormat="1" ht="17.149999999999999" customHeight="1" thickBot="1" x14ac:dyDescent="0.35">
      <c r="B13" s="137"/>
      <c r="C13" s="596"/>
      <c r="D13" s="597"/>
      <c r="E13" s="597"/>
      <c r="F13" s="352"/>
      <c r="G13" s="580"/>
      <c r="H13" s="581"/>
      <c r="M13" s="69" t="s">
        <v>136</v>
      </c>
    </row>
    <row r="14" spans="2:16" s="61" customFormat="1" ht="23.5" customHeight="1" x14ac:dyDescent="0.35">
      <c r="B14" s="60" t="s">
        <v>48</v>
      </c>
      <c r="C14" s="586" t="s">
        <v>122</v>
      </c>
      <c r="D14" s="586"/>
      <c r="E14" s="586"/>
      <c r="F14" s="583" t="s">
        <v>49</v>
      </c>
      <c r="G14" s="583"/>
      <c r="H14" s="583"/>
      <c r="M14" s="69" t="s">
        <v>205</v>
      </c>
      <c r="O14" s="1"/>
      <c r="P14" s="1"/>
    </row>
    <row r="15" spans="2:16" s="68" customFormat="1" ht="17.149999999999999" customHeight="1" x14ac:dyDescent="0.35">
      <c r="B15" s="138"/>
      <c r="C15" s="594"/>
      <c r="D15" s="595"/>
      <c r="E15" s="595"/>
      <c r="F15" s="580"/>
      <c r="G15" s="581"/>
      <c r="H15" s="581"/>
      <c r="K15" s="68" t="s">
        <v>225</v>
      </c>
      <c r="M15" s="69" t="s">
        <v>662</v>
      </c>
      <c r="O15" s="1"/>
      <c r="P15" s="1"/>
    </row>
    <row r="16" spans="2:16" ht="21" customHeight="1" x14ac:dyDescent="0.35">
      <c r="B16" s="584" t="s">
        <v>52</v>
      </c>
      <c r="C16" s="584"/>
      <c r="D16" s="584"/>
      <c r="E16" s="584"/>
      <c r="F16" s="584"/>
      <c r="G16" s="584"/>
      <c r="H16" s="584"/>
      <c r="K16" s="69" t="s">
        <v>148</v>
      </c>
      <c r="M16" s="69" t="s">
        <v>206</v>
      </c>
      <c r="O16" s="68"/>
      <c r="P16" s="68"/>
    </row>
    <row r="17" spans="2:16" ht="14.5" customHeight="1" x14ac:dyDescent="0.35">
      <c r="B17" s="585" t="s">
        <v>53</v>
      </c>
      <c r="C17" s="585"/>
      <c r="D17" s="585"/>
      <c r="E17" s="585" t="s">
        <v>54</v>
      </c>
      <c r="F17" s="585"/>
      <c r="G17" s="585"/>
      <c r="H17" s="585"/>
      <c r="K17" s="69" t="s">
        <v>145</v>
      </c>
      <c r="M17" s="69" t="s">
        <v>209</v>
      </c>
      <c r="O17" s="61" t="s">
        <v>592</v>
      </c>
    </row>
    <row r="18" spans="2:16" s="68" customFormat="1" ht="17.149999999999999" customHeight="1" x14ac:dyDescent="0.35">
      <c r="B18" s="562"/>
      <c r="C18" s="563"/>
      <c r="D18" s="73"/>
      <c r="E18" s="580"/>
      <c r="F18" s="581"/>
      <c r="G18" s="581"/>
      <c r="H18" s="581"/>
      <c r="K18" s="69" t="s">
        <v>146</v>
      </c>
      <c r="M18" s="69" t="s">
        <v>207</v>
      </c>
      <c r="O18" s="68" t="str">
        <f>IF(VLOOKUP(B36,Sector2,2,FALSE)="Public",TRUE,IF(VLOOKUP(B36,Sector2,2,FALSE)="Private",FALSE,IF(VLOOKUP(B36,Sector2,2,FALSE)="CustomPublic",FALSE,"")))</f>
        <v/>
      </c>
      <c r="P18" s="1"/>
    </row>
    <row r="19" spans="2:16" ht="12" customHeight="1" x14ac:dyDescent="0.35">
      <c r="B19" s="587"/>
      <c r="C19" s="587"/>
      <c r="D19" s="587"/>
      <c r="E19" s="587"/>
      <c r="F19" s="587"/>
      <c r="G19" s="587"/>
      <c r="H19" s="587"/>
      <c r="K19" s="69" t="s">
        <v>147</v>
      </c>
      <c r="M19" s="69" t="s">
        <v>140</v>
      </c>
      <c r="O19" s="61"/>
      <c r="P19" s="61"/>
    </row>
    <row r="20" spans="2:16" ht="20.149999999999999" customHeight="1" x14ac:dyDescent="0.35">
      <c r="B20" s="576" t="s">
        <v>55</v>
      </c>
      <c r="C20" s="577"/>
      <c r="D20" s="577"/>
      <c r="E20" s="577"/>
      <c r="F20" s="577"/>
      <c r="G20" s="577"/>
      <c r="H20" s="578"/>
      <c r="M20" s="69" t="s">
        <v>208</v>
      </c>
      <c r="O20" s="501" t="s">
        <v>1086</v>
      </c>
      <c r="P20" s="68"/>
    </row>
    <row r="21" spans="2:16" s="61" customFormat="1" ht="18.649999999999999" customHeight="1" x14ac:dyDescent="0.35">
      <c r="B21" s="583" t="s">
        <v>50</v>
      </c>
      <c r="C21" s="583"/>
      <c r="D21" s="583"/>
      <c r="E21" s="583" t="s">
        <v>41</v>
      </c>
      <c r="F21" s="583"/>
      <c r="G21" s="60" t="s">
        <v>42</v>
      </c>
      <c r="H21" s="60" t="s">
        <v>43</v>
      </c>
      <c r="K21" s="61" t="s">
        <v>226</v>
      </c>
      <c r="M21" s="69" t="s">
        <v>210</v>
      </c>
      <c r="O21" s="61" t="str">
        <f>IF(VLOOKUP(B36,Sector2,2,FALSE)="Public",TRUE,IF(VLOOKUP(B36,Sector2,2,FALSE)="Private",FALSE,IF(VLOOKUP(B36,Sector2,2,FALSE)="CustomPublic",TRUE,"")))</f>
        <v/>
      </c>
    </row>
    <row r="22" spans="2:16" s="68" customFormat="1" ht="17.149999999999999" customHeight="1" x14ac:dyDescent="0.35">
      <c r="B22" s="580"/>
      <c r="C22" s="581"/>
      <c r="D22" s="581"/>
      <c r="E22" s="580"/>
      <c r="F22" s="581"/>
      <c r="G22" s="197" t="s">
        <v>51</v>
      </c>
      <c r="H22" s="138"/>
      <c r="K22" s="74" t="s">
        <v>219</v>
      </c>
      <c r="M22" s="69" t="s">
        <v>211</v>
      </c>
      <c r="O22" s="1"/>
      <c r="P22" s="1"/>
    </row>
    <row r="23" spans="2:16" s="61" customFormat="1" ht="22" customHeight="1" thickBot="1" x14ac:dyDescent="0.4">
      <c r="B23" s="60" t="s">
        <v>127</v>
      </c>
      <c r="C23" s="60"/>
      <c r="D23" s="593" t="s">
        <v>198</v>
      </c>
      <c r="E23" s="593"/>
      <c r="F23" s="593"/>
      <c r="G23" s="593"/>
      <c r="H23" s="593"/>
      <c r="K23" s="74" t="s">
        <v>220</v>
      </c>
      <c r="M23" s="69" t="s">
        <v>212</v>
      </c>
      <c r="O23" s="1"/>
      <c r="P23" s="1"/>
    </row>
    <row r="24" spans="2:16" ht="27" customHeight="1" thickBot="1" x14ac:dyDescent="0.4">
      <c r="B24" s="591" t="s">
        <v>148</v>
      </c>
      <c r="C24" s="592"/>
      <c r="D24" s="588"/>
      <c r="E24" s="589"/>
      <c r="F24" s="589"/>
      <c r="G24" s="589"/>
      <c r="H24" s="589"/>
      <c r="K24" s="74" t="s">
        <v>221</v>
      </c>
      <c r="M24" s="69" t="s">
        <v>213</v>
      </c>
    </row>
    <row r="25" spans="2:16" ht="14.15" customHeight="1" x14ac:dyDescent="0.35">
      <c r="B25" s="59"/>
      <c r="C25" s="59"/>
      <c r="D25" s="585"/>
      <c r="E25" s="585"/>
      <c r="F25" s="590"/>
      <c r="G25" s="590"/>
      <c r="H25" s="590"/>
      <c r="K25" s="77" t="s">
        <v>222</v>
      </c>
      <c r="M25" s="69" t="s">
        <v>131</v>
      </c>
      <c r="O25" s="61"/>
      <c r="P25" s="61"/>
    </row>
    <row r="26" spans="2:16" ht="21" customHeight="1" x14ac:dyDescent="0.35">
      <c r="B26" s="579" t="s">
        <v>129</v>
      </c>
      <c r="C26" s="577"/>
      <c r="D26" s="577"/>
      <c r="E26" s="577"/>
      <c r="F26" s="577"/>
      <c r="G26" s="577"/>
      <c r="H26" s="578"/>
      <c r="M26" s="69" t="s">
        <v>214</v>
      </c>
      <c r="O26" s="68"/>
      <c r="P26" s="68"/>
    </row>
    <row r="27" spans="2:16" s="61" customFormat="1" ht="20.5" customHeight="1" x14ac:dyDescent="0.35">
      <c r="B27" s="60" t="s">
        <v>57</v>
      </c>
      <c r="C27" s="583" t="s">
        <v>58</v>
      </c>
      <c r="D27" s="583"/>
      <c r="E27" s="583"/>
      <c r="F27" s="583"/>
      <c r="G27" s="583" t="s">
        <v>45</v>
      </c>
      <c r="H27" s="583"/>
      <c r="M27" s="69" t="s">
        <v>215</v>
      </c>
    </row>
    <row r="28" spans="2:16" s="68" customFormat="1" ht="17.149999999999999" customHeight="1" x14ac:dyDescent="0.3">
      <c r="B28" s="138"/>
      <c r="C28" s="580"/>
      <c r="D28" s="581"/>
      <c r="E28" s="581"/>
      <c r="F28" s="581"/>
      <c r="G28" s="580"/>
      <c r="H28" s="581"/>
      <c r="M28" s="69" t="s">
        <v>216</v>
      </c>
    </row>
    <row r="29" spans="2:16" s="61" customFormat="1" ht="20.5" customHeight="1" x14ac:dyDescent="0.35">
      <c r="B29" s="583" t="s">
        <v>59</v>
      </c>
      <c r="C29" s="583"/>
      <c r="D29" s="583"/>
      <c r="E29" s="583" t="s">
        <v>41</v>
      </c>
      <c r="F29" s="583"/>
      <c r="G29" s="60" t="s">
        <v>42</v>
      </c>
      <c r="H29" s="60" t="s">
        <v>43</v>
      </c>
      <c r="M29" s="69" t="s">
        <v>139</v>
      </c>
    </row>
    <row r="30" spans="2:16" s="68" customFormat="1" ht="17.149999999999999" customHeight="1" x14ac:dyDescent="0.35">
      <c r="B30" s="580"/>
      <c r="C30" s="581"/>
      <c r="D30" s="581"/>
      <c r="E30" s="580"/>
      <c r="F30" s="581"/>
      <c r="G30" s="138"/>
      <c r="H30" s="138"/>
    </row>
    <row r="31" spans="2:16" s="61" customFormat="1" ht="20.5" customHeight="1" x14ac:dyDescent="0.35">
      <c r="B31" s="60" t="s">
        <v>49</v>
      </c>
      <c r="C31" s="586" t="s">
        <v>122</v>
      </c>
      <c r="D31" s="586"/>
      <c r="E31" s="586"/>
      <c r="F31" s="60" t="s">
        <v>60</v>
      </c>
      <c r="G31" s="586" t="s">
        <v>123</v>
      </c>
      <c r="H31" s="586"/>
      <c r="O31" s="1"/>
      <c r="P31" s="1"/>
    </row>
    <row r="32" spans="2:16" s="68" customFormat="1" ht="17.149999999999999" customHeight="1" x14ac:dyDescent="0.35">
      <c r="B32" s="138"/>
      <c r="C32" s="580"/>
      <c r="D32" s="581"/>
      <c r="E32" s="581"/>
      <c r="F32" s="138"/>
      <c r="G32" s="582"/>
      <c r="H32" s="581"/>
      <c r="O32" s="1"/>
      <c r="P32" s="1"/>
    </row>
    <row r="33" spans="1:16" ht="15.65" customHeight="1" x14ac:dyDescent="0.35">
      <c r="B33" s="587"/>
      <c r="C33" s="587"/>
      <c r="D33" s="587"/>
      <c r="E33" s="587"/>
      <c r="F33" s="587"/>
      <c r="G33" s="587"/>
      <c r="H33" s="587"/>
      <c r="K33" s="68"/>
      <c r="M33" s="61"/>
      <c r="O33" s="61"/>
      <c r="P33" s="61"/>
    </row>
    <row r="34" spans="1:16" ht="21" customHeight="1" x14ac:dyDescent="0.35">
      <c r="B34" s="579" t="s">
        <v>61</v>
      </c>
      <c r="C34" s="577"/>
      <c r="D34" s="577"/>
      <c r="E34" s="577"/>
      <c r="F34" s="577"/>
      <c r="G34" s="577"/>
      <c r="H34" s="578"/>
      <c r="M34" s="68"/>
    </row>
    <row r="35" spans="1:16" s="61" customFormat="1" ht="20.149999999999999" customHeight="1" thickBot="1" x14ac:dyDescent="0.4">
      <c r="B35" s="573" t="s">
        <v>584</v>
      </c>
      <c r="C35" s="573"/>
      <c r="D35" s="573"/>
      <c r="M35" s="1"/>
    </row>
    <row r="36" spans="1:16" ht="20.5" customHeight="1" thickBot="1" x14ac:dyDescent="0.4">
      <c r="A36" s="305" t="s">
        <v>892</v>
      </c>
      <c r="B36" s="568" t="s">
        <v>148</v>
      </c>
      <c r="C36" s="569"/>
      <c r="D36" s="132" t="s">
        <v>597</v>
      </c>
      <c r="E36" s="574" t="str">
        <f>IFERROR(IF(isPublic,"Applicant qualifies for PUBLIC Sector incentives",IF(isCustomPublic,"Applicant qualifies for PRIVATE Sector Standard incentives and PUBLIC Sector Custom incentives","Applicant qualifies for PRIVATE Sector incentives")),"PLEASE SELECT A SECTOR ON THE LEFT")</f>
        <v>PLEASE SELECT A SECTOR ON THE LEFT</v>
      </c>
      <c r="F36" s="574"/>
      <c r="G36" s="574"/>
      <c r="H36" s="574"/>
    </row>
    <row r="37" spans="1:16" s="61" customFormat="1" ht="21" customHeight="1" thickBot="1" x14ac:dyDescent="0.4">
      <c r="B37" s="573" t="s">
        <v>141</v>
      </c>
      <c r="C37" s="573"/>
      <c r="D37" s="573"/>
      <c r="E37" s="570" t="s">
        <v>142</v>
      </c>
      <c r="F37" s="570"/>
      <c r="G37" s="570"/>
      <c r="H37" s="570"/>
    </row>
    <row r="38" spans="1:16" ht="17.5" customHeight="1" thickBot="1" x14ac:dyDescent="0.4">
      <c r="B38" s="568"/>
      <c r="C38" s="569"/>
      <c r="D38" s="78"/>
      <c r="E38" s="571" t="s">
        <v>149</v>
      </c>
      <c r="F38" s="572"/>
      <c r="G38" s="572"/>
      <c r="H38" s="572"/>
    </row>
    <row r="39" spans="1:16" s="61" customFormat="1" ht="18.649999999999999" customHeight="1" thickBot="1" x14ac:dyDescent="0.4">
      <c r="B39" s="69" t="s">
        <v>218</v>
      </c>
      <c r="E39" s="559" t="s">
        <v>228</v>
      </c>
      <c r="F39" s="559"/>
      <c r="G39" s="559"/>
      <c r="H39" s="559"/>
      <c r="O39" s="1"/>
      <c r="P39" s="1"/>
    </row>
    <row r="40" spans="1:16" ht="25" customHeight="1" thickBot="1" x14ac:dyDescent="0.4">
      <c r="B40" s="353"/>
      <c r="E40" s="556" t="s">
        <v>148</v>
      </c>
      <c r="F40" s="557"/>
      <c r="G40" s="557"/>
      <c r="H40" s="558"/>
    </row>
    <row r="41" spans="1:16" ht="18" customHeight="1" x14ac:dyDescent="0.35">
      <c r="B41" s="69" t="s">
        <v>229</v>
      </c>
      <c r="E41" s="560" t="s">
        <v>223</v>
      </c>
      <c r="F41" s="560"/>
      <c r="G41" s="560"/>
      <c r="H41" s="560"/>
      <c r="K41" s="65"/>
      <c r="M41" s="61"/>
    </row>
    <row r="42" spans="1:16" ht="25" customHeight="1" x14ac:dyDescent="0.35">
      <c r="B42" s="354"/>
      <c r="E42" s="556"/>
      <c r="F42" s="557"/>
      <c r="G42" s="557"/>
      <c r="H42" s="558"/>
    </row>
    <row r="43" spans="1:16" ht="18" customHeight="1" thickBot="1" x14ac:dyDescent="0.4">
      <c r="B43" s="75" t="s">
        <v>150</v>
      </c>
    </row>
    <row r="44" spans="1:16" ht="18" customHeight="1" thickBot="1" x14ac:dyDescent="0.4">
      <c r="B44" s="355"/>
      <c r="C44" s="76"/>
    </row>
    <row r="45" spans="1:16" ht="18" customHeight="1" x14ac:dyDescent="0.35">
      <c r="E45" s="123" t="str">
        <f>IF(B38="Multiple","When selecting 'Multiple' as Facility Type, please include an itemized description of the work that will be done at each facility type. Indicate if each space is cooled and if it is heated (natural gas, LP, electric, or other)","")</f>
        <v/>
      </c>
      <c r="F45" s="123"/>
      <c r="G45" s="123"/>
      <c r="H45" s="123"/>
    </row>
    <row r="46" spans="1:16" x14ac:dyDescent="0.35">
      <c r="E46" s="123"/>
      <c r="F46" s="123"/>
      <c r="G46" s="123"/>
      <c r="H46" s="123"/>
    </row>
    <row r="47" spans="1:16" x14ac:dyDescent="0.35">
      <c r="E47" s="123"/>
      <c r="F47" s="123"/>
      <c r="G47" s="123"/>
      <c r="H47" s="123"/>
    </row>
    <row r="67" spans="13:13" x14ac:dyDescent="0.35">
      <c r="M67" s="1">
        <f>SUMIF('Hot Water'!I:I,SUMMARY!G59,'Hot Water'!K:K)</f>
        <v>0</v>
      </c>
    </row>
  </sheetData>
  <sheetProtection algorithmName="SHA-512" hashValue="u7IVcxejCiJD8MF+bLEATYduj9ercfUto/8oh5Uc5XSa14lqK0jC5KBZ3/OTqCn7UpMmpVM5Cg7RPSQlyWGH+w==" saltValue="MP57NJvu/J1WQcGfak536g==" spinCount="100000" sheet="1" objects="1" scenarios="1" selectLockedCells="1"/>
  <mergeCells count="66">
    <mergeCell ref="B5:C5"/>
    <mergeCell ref="F5:H5"/>
    <mergeCell ref="B6:D6"/>
    <mergeCell ref="D4:H4"/>
    <mergeCell ref="B9:D9"/>
    <mergeCell ref="E9:F9"/>
    <mergeCell ref="B8:D8"/>
    <mergeCell ref="E8:F8"/>
    <mergeCell ref="F6:H6"/>
    <mergeCell ref="C14:E14"/>
    <mergeCell ref="F14:H14"/>
    <mergeCell ref="C15:E15"/>
    <mergeCell ref="F15:H15"/>
    <mergeCell ref="C12:E12"/>
    <mergeCell ref="G12:H12"/>
    <mergeCell ref="C13:E13"/>
    <mergeCell ref="G13:H13"/>
    <mergeCell ref="B19:H19"/>
    <mergeCell ref="D24:H24"/>
    <mergeCell ref="D25:E25"/>
    <mergeCell ref="F25:H25"/>
    <mergeCell ref="B21:D21"/>
    <mergeCell ref="E21:F21"/>
    <mergeCell ref="B22:D22"/>
    <mergeCell ref="E22:F22"/>
    <mergeCell ref="B24:C24"/>
    <mergeCell ref="D23:H23"/>
    <mergeCell ref="B37:D37"/>
    <mergeCell ref="B30:D30"/>
    <mergeCell ref="E30:F30"/>
    <mergeCell ref="C31:E31"/>
    <mergeCell ref="G31:H31"/>
    <mergeCell ref="B34:H34"/>
    <mergeCell ref="B33:H33"/>
    <mergeCell ref="B2:H2"/>
    <mergeCell ref="B3:H3"/>
    <mergeCell ref="B20:H20"/>
    <mergeCell ref="B26:H26"/>
    <mergeCell ref="C32:E32"/>
    <mergeCell ref="G32:H32"/>
    <mergeCell ref="C28:F28"/>
    <mergeCell ref="G28:H28"/>
    <mergeCell ref="B29:D29"/>
    <mergeCell ref="E29:F29"/>
    <mergeCell ref="C27:F27"/>
    <mergeCell ref="G27:H27"/>
    <mergeCell ref="B16:H16"/>
    <mergeCell ref="B17:D17"/>
    <mergeCell ref="E17:H17"/>
    <mergeCell ref="E18:H18"/>
    <mergeCell ref="E40:H40"/>
    <mergeCell ref="E39:H39"/>
    <mergeCell ref="E41:H41"/>
    <mergeCell ref="E42:H42"/>
    <mergeCell ref="B7:C7"/>
    <mergeCell ref="B18:C18"/>
    <mergeCell ref="D11:H11"/>
    <mergeCell ref="B11:C11"/>
    <mergeCell ref="D10:H10"/>
    <mergeCell ref="B10:C10"/>
    <mergeCell ref="B38:C38"/>
    <mergeCell ref="E37:H37"/>
    <mergeCell ref="E38:H38"/>
    <mergeCell ref="B36:C36"/>
    <mergeCell ref="B35:D35"/>
    <mergeCell ref="E36:H36"/>
  </mergeCells>
  <dataValidations count="7">
    <dataValidation type="list" allowBlank="1" showInputMessage="1" showErrorMessage="1" error="Please select from the drop-down list. (click on the cell, then click on the downward triangle to the right of the cell)" sqref="B24:C24" xr:uid="{00000000-0002-0000-0300-000000000000}">
      <formula1>Installation</formula1>
    </dataValidation>
    <dataValidation type="list" allowBlank="1" showInputMessage="1" showErrorMessage="1" error="Please select from the drop-down list. (click on the cell, then click on the downward triangle to the right of the cell)" sqref="B36:C36" xr:uid="{00000000-0002-0000-0300-000001000000}">
      <formula1>Sector</formula1>
    </dataValidation>
    <dataValidation type="custom" allowBlank="1" showInputMessage="1" showErrorMessage="1" error="Enter &quot;Pending&quot; or a 10-digit account number" sqref="F5:H6" xr:uid="{00000000-0002-0000-0300-000002000000}">
      <formula1>OR(LEN(F5)=10,F5="Pending")</formula1>
    </dataValidation>
    <dataValidation type="list" allowBlank="1" showInputMessage="1" showErrorMessage="1" error="Please select from the drop-down list. (click on the cell, then click on the downward triangle to the right of the cell)" sqref="B38:C38" xr:uid="{00000000-0002-0000-0300-000003000000}">
      <formula1>FacilityTypes</formula1>
    </dataValidation>
    <dataValidation type="list" allowBlank="1" showInputMessage="1" showErrorMessage="1" error="Please select from the drop-down list. (click on the cell, then click on the downward triangle to the right of the cell)" sqref="E38:H38" xr:uid="{00000000-0002-0000-0300-000004000000}">
      <formula1>NewExisting</formula1>
    </dataValidation>
    <dataValidation type="list" allowBlank="1" showInputMessage="1" showErrorMessage="1" error="Please select from the drop-down list. (click on the cell, then click on the downward triangle to the right of the cell)" sqref="E40:H40" xr:uid="{00000000-0002-0000-0300-000005000000}">
      <formula1>DesignPhase</formula1>
    </dataValidation>
    <dataValidation type="list" allowBlank="1" showInputMessage="1" showErrorMessage="1" error="Please select from the drop-down list. (click on the cell, then click on the downward triangle to the right of the cell)" sqref="E42:H42" xr:uid="{00000000-0002-0000-0300-000006000000}">
      <formula1>HVACsystem</formula1>
    </dataValidation>
  </dataValidations>
  <hyperlinks>
    <hyperlink ref="B7" r:id="rId1" xr:uid="{00000000-0004-0000-0300-000000000000}"/>
  </hyperlinks>
  <pageMargins left="0.7" right="0.7" top="0.75" bottom="0.75" header="0.3" footer="0.3"/>
  <pageSetup orientation="portrait" horizontalDpi="1200" verticalDpi="1200" r:id="rId2"/>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tableParts count="8">
    <tablePart r:id="rId3"/>
    <tablePart r:id="rId4"/>
    <tablePart r:id="rId5"/>
    <tablePart r:id="rId6"/>
    <tablePart r:id="rId7"/>
    <tablePart r:id="rId8"/>
    <tablePart r:id="rId9"/>
    <tablePart r:id="rId1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pageSetUpPr autoPageBreaks="0" fitToPage="1"/>
  </sheetPr>
  <dimension ref="A1:O127"/>
  <sheetViews>
    <sheetView showGridLines="0" showRowColHeaders="0" zoomScaleNormal="100" workbookViewId="0">
      <selection activeCell="Q108" sqref="Q108"/>
    </sheetView>
  </sheetViews>
  <sheetFormatPr defaultRowHeight="14.5" x14ac:dyDescent="0.35"/>
  <cols>
    <col min="2" max="2" width="5.26953125" customWidth="1"/>
    <col min="3" max="3" width="0.81640625" customWidth="1"/>
    <col min="4" max="4" width="1.26953125" customWidth="1"/>
    <col min="5" max="5" width="2.453125" style="20" customWidth="1"/>
    <col min="6" max="6" width="1.26953125" customWidth="1"/>
    <col min="8" max="8" width="59.1796875" customWidth="1"/>
    <col min="9" max="9" width="10.26953125" style="252" customWidth="1"/>
    <col min="10" max="10" width="1.7265625" customWidth="1"/>
    <col min="11" max="11" width="14.54296875" style="86" customWidth="1"/>
    <col min="12" max="12" width="1.1796875" customWidth="1"/>
    <col min="13" max="13" width="16" customWidth="1"/>
    <col min="14" max="14" width="1.26953125" customWidth="1"/>
  </cols>
  <sheetData>
    <row r="1" spans="2:15" ht="12" customHeight="1" x14ac:dyDescent="0.35"/>
    <row r="2" spans="2:15" ht="34" customHeight="1" x14ac:dyDescent="0.35">
      <c r="B2" s="609" t="str">
        <f>IF(isPublic="","NOTE: Incentive rates may depend on market sector. Before reviewing the summary below, please enter the proper sector in the 'Facility/Project Description' section of the 'PROJECT INFO' tab.","")</f>
        <v>NOTE: Incentive rates may depend on market sector. Before reviewing the summary below, please enter the proper sector in the 'Facility/Project Description' section of the 'PROJECT INFO' tab.</v>
      </c>
      <c r="C2" s="609"/>
      <c r="D2" s="609"/>
      <c r="E2" s="609"/>
      <c r="F2" s="609"/>
      <c r="G2" s="609"/>
      <c r="H2" s="609"/>
      <c r="I2" s="609"/>
      <c r="J2" s="609"/>
      <c r="K2" s="609"/>
      <c r="L2" s="609"/>
      <c r="M2" s="609"/>
      <c r="N2" s="609"/>
    </row>
    <row r="3" spans="2:15" ht="7.5" customHeight="1" x14ac:dyDescent="0.35"/>
    <row r="4" spans="2:15" s="72" customFormat="1" ht="21" x14ac:dyDescent="0.5">
      <c r="B4" s="88"/>
      <c r="C4" s="89"/>
      <c r="D4" s="89"/>
      <c r="E4" s="613" t="s">
        <v>197</v>
      </c>
      <c r="F4" s="613"/>
      <c r="G4" s="613"/>
      <c r="H4" s="613"/>
      <c r="I4" s="613"/>
      <c r="J4" s="613"/>
      <c r="K4" s="613"/>
      <c r="L4" s="89"/>
      <c r="M4" s="90">
        <f ca="1">SUM(M8:M127)</f>
        <v>0</v>
      </c>
      <c r="N4" s="91"/>
      <c r="O4" s="283"/>
    </row>
    <row r="5" spans="2:15" ht="8.5" customHeight="1" x14ac:dyDescent="0.35">
      <c r="E5" s="98"/>
      <c r="F5" s="98"/>
      <c r="G5" s="98"/>
      <c r="H5" s="98"/>
      <c r="I5" s="286"/>
      <c r="J5" s="98"/>
      <c r="K5" s="98"/>
      <c r="L5" s="98"/>
      <c r="M5" s="98"/>
    </row>
    <row r="6" spans="2:15" ht="15" customHeight="1" x14ac:dyDescent="0.35">
      <c r="B6" s="607" t="s">
        <v>494</v>
      </c>
      <c r="D6" s="24"/>
      <c r="E6" s="40" t="s">
        <v>494</v>
      </c>
      <c r="F6" s="25"/>
      <c r="G6" s="40"/>
      <c r="H6" s="25"/>
      <c r="I6" s="287"/>
      <c r="J6" s="25"/>
      <c r="K6" s="281"/>
      <c r="L6" s="25"/>
      <c r="M6" s="25"/>
      <c r="N6" s="26"/>
    </row>
    <row r="7" spans="2:15" ht="5.5" customHeight="1" thickBot="1" x14ac:dyDescent="0.4">
      <c r="B7" s="607"/>
      <c r="D7" s="27"/>
      <c r="E7" s="28"/>
      <c r="F7" s="29"/>
      <c r="G7" s="23"/>
      <c r="H7" s="29"/>
      <c r="I7" s="235"/>
      <c r="J7" s="29"/>
      <c r="K7" s="210"/>
      <c r="L7" s="29"/>
      <c r="M7" s="29"/>
      <c r="N7" s="30"/>
    </row>
    <row r="8" spans="2:15" ht="13.5" customHeight="1" thickBot="1" x14ac:dyDescent="0.4">
      <c r="B8" s="607"/>
      <c r="D8" s="31"/>
      <c r="E8" s="21" t="str">
        <f>IF(OR(M8&gt;0,M8&lt;0),"X","")</f>
        <v/>
      </c>
      <c r="F8" s="16"/>
      <c r="G8" s="16" t="s">
        <v>497</v>
      </c>
      <c r="H8" s="16" t="s">
        <v>978</v>
      </c>
      <c r="I8" s="258" t="str">
        <f>"$"&amp;IFERROR(LightingRate,"")</f>
        <v>$</v>
      </c>
      <c r="J8" s="17" t="s">
        <v>67</v>
      </c>
      <c r="K8" s="275" t="s">
        <v>495</v>
      </c>
      <c r="L8" s="16"/>
      <c r="M8" s="19">
        <f>_xlfn.NUMBERVALUE('Lighting-Step3'!C15)</f>
        <v>0</v>
      </c>
      <c r="N8" s="32"/>
    </row>
    <row r="9" spans="2:15" ht="13.5" customHeight="1" x14ac:dyDescent="0.35">
      <c r="B9" s="607"/>
      <c r="D9" s="31"/>
      <c r="E9" s="22"/>
      <c r="F9" s="16"/>
      <c r="G9" s="16"/>
      <c r="H9" s="614" t="s">
        <v>979</v>
      </c>
      <c r="I9" s="614"/>
      <c r="J9" s="17"/>
      <c r="K9" s="379"/>
      <c r="L9" s="16"/>
      <c r="M9" s="99"/>
      <c r="N9" s="32"/>
    </row>
    <row r="10" spans="2:15" ht="15" customHeight="1" x14ac:dyDescent="0.35">
      <c r="B10" s="607"/>
      <c r="D10" s="31"/>
      <c r="E10" s="22"/>
      <c r="F10" s="16"/>
      <c r="G10" s="16"/>
      <c r="H10" s="87" t="str">
        <f>'Lighting-Step3'!F18</f>
        <v>Tier 1:          15% - 24.99%           $0.16/kWh</v>
      </c>
      <c r="I10" s="258"/>
      <c r="J10" s="17"/>
      <c r="K10" s="275"/>
      <c r="L10" s="16"/>
      <c r="M10" s="99"/>
      <c r="N10" s="32"/>
    </row>
    <row r="11" spans="2:15" ht="15" customHeight="1" x14ac:dyDescent="0.35">
      <c r="B11" s="607"/>
      <c r="D11" s="31"/>
      <c r="E11" s="22"/>
      <c r="F11" s="16"/>
      <c r="G11" s="16"/>
      <c r="H11" s="87" t="str">
        <f>'Lighting-Step3'!F19</f>
        <v>Tier 2:          25% - 34.99%           $0.17/kWh</v>
      </c>
      <c r="I11" s="258"/>
      <c r="J11" s="17"/>
      <c r="K11" s="275"/>
      <c r="L11" s="16"/>
      <c r="M11" s="99"/>
      <c r="N11" s="32"/>
    </row>
    <row r="12" spans="2:15" ht="15" customHeight="1" x14ac:dyDescent="0.35">
      <c r="B12" s="607"/>
      <c r="D12" s="31"/>
      <c r="E12" s="22"/>
      <c r="F12" s="16"/>
      <c r="G12" s="16"/>
      <c r="H12" s="87" t="str">
        <f>'Lighting-Step3'!F20</f>
        <v>Tier 3:          35% - 100%              $0.18/kWh</v>
      </c>
      <c r="I12" s="258"/>
      <c r="J12" s="17"/>
      <c r="K12" s="275"/>
      <c r="L12" s="16"/>
      <c r="M12" s="99"/>
      <c r="N12" s="32"/>
    </row>
    <row r="13" spans="2:15" ht="5.5" customHeight="1" thickBot="1" x14ac:dyDescent="0.4">
      <c r="B13" s="607"/>
      <c r="D13" s="27"/>
      <c r="E13" s="28"/>
      <c r="F13" s="29"/>
      <c r="G13" s="23"/>
      <c r="H13" s="29"/>
      <c r="I13" s="235"/>
      <c r="J13" s="29"/>
      <c r="K13" s="210"/>
      <c r="L13" s="29"/>
      <c r="M13" s="29"/>
      <c r="N13" s="30"/>
    </row>
    <row r="14" spans="2:15" ht="13.5" customHeight="1" thickBot="1" x14ac:dyDescent="0.4">
      <c r="B14" s="607"/>
      <c r="D14" s="31"/>
      <c r="E14" s="21" t="str">
        <f>IF(OR(M14&gt;0,M14&lt;0),"X","")</f>
        <v/>
      </c>
      <c r="F14" s="16"/>
      <c r="G14" s="16" t="s">
        <v>498</v>
      </c>
      <c r="H14" s="16" t="s">
        <v>496</v>
      </c>
      <c r="I14" s="285">
        <v>0.17</v>
      </c>
      <c r="J14" s="17" t="s">
        <v>67</v>
      </c>
      <c r="K14" s="275" t="s">
        <v>495</v>
      </c>
      <c r="L14" s="16"/>
      <c r="M14" s="19">
        <f>_xlfn.NUMBERVALUE('Lighting-Step3'!C19)</f>
        <v>0</v>
      </c>
      <c r="N14" s="32"/>
    </row>
    <row r="15" spans="2:15" ht="5.5" customHeight="1" x14ac:dyDescent="0.35">
      <c r="B15" s="607"/>
      <c r="D15" s="33"/>
      <c r="E15" s="34"/>
      <c r="F15" s="35"/>
      <c r="G15" s="35"/>
      <c r="H15" s="35"/>
      <c r="I15" s="288"/>
      <c r="J15" s="36"/>
      <c r="K15" s="282"/>
      <c r="L15" s="35"/>
      <c r="M15" s="37"/>
      <c r="N15" s="38"/>
    </row>
    <row r="16" spans="2:15" ht="10.5" customHeight="1" x14ac:dyDescent="0.35">
      <c r="B16" s="57"/>
      <c r="E16" s="22"/>
      <c r="G16" s="16"/>
    </row>
    <row r="17" spans="2:14" ht="15" customHeight="1" x14ac:dyDescent="0.35">
      <c r="B17" s="607" t="s">
        <v>117</v>
      </c>
      <c r="D17" s="24"/>
      <c r="E17" s="40" t="str">
        <f>'Measure Data'!B2</f>
        <v>High Efficiency Gas Furnaces</v>
      </c>
      <c r="F17" s="25"/>
      <c r="G17" s="40"/>
      <c r="H17" s="25"/>
      <c r="I17" s="287"/>
      <c r="J17" s="25"/>
      <c r="K17" s="281"/>
      <c r="L17" s="25"/>
      <c r="M17" s="25"/>
      <c r="N17" s="26"/>
    </row>
    <row r="18" spans="2:14" ht="5.5" customHeight="1" thickBot="1" x14ac:dyDescent="0.4">
      <c r="B18" s="607"/>
      <c r="D18" s="27"/>
      <c r="E18" s="28"/>
      <c r="F18" s="29"/>
      <c r="G18" s="23"/>
      <c r="H18" s="29"/>
      <c r="I18" s="235"/>
      <c r="J18" s="29"/>
      <c r="K18" s="210"/>
      <c r="L18" s="29"/>
      <c r="M18" s="29"/>
      <c r="N18" s="30"/>
    </row>
    <row r="19" spans="2:14" ht="13.5" customHeight="1" thickBot="1" x14ac:dyDescent="0.4">
      <c r="B19" s="607"/>
      <c r="D19" s="31"/>
      <c r="E19" s="21" t="str">
        <f ca="1">IF(OR(M19&gt;0,M19&lt;0),"X","")</f>
        <v/>
      </c>
      <c r="F19" s="16"/>
      <c r="G19" s="16" t="str">
        <f>'Measure Data'!B5</f>
        <v>BPH7</v>
      </c>
      <c r="H19" s="16" t="str">
        <f>'Measure Data'!C5</f>
        <v>40 - 140 kBtuh input</v>
      </c>
      <c r="I19" s="258" t="str">
        <f>IFERROR(IF(isPublic,'Measure Data'!I5,'Measure Data'!J5),"SEE NOTE")</f>
        <v>SEE NOTE</v>
      </c>
      <c r="J19" s="17" t="s">
        <v>67</v>
      </c>
      <c r="K19" s="275" t="str">
        <f>'Measure Data'!K5</f>
        <v>unit installed</v>
      </c>
      <c r="L19" s="16"/>
      <c r="M19" s="19">
        <f ca="1">SUMIF('HVAC-Heating'!G$14:H$20,SUMMARY!H19,'HVAC-Heating'!K$14:K$20)</f>
        <v>0</v>
      </c>
      <c r="N19" s="32"/>
    </row>
    <row r="20" spans="2:14" ht="13.5" customHeight="1" thickBot="1" x14ac:dyDescent="0.4">
      <c r="B20" s="607"/>
      <c r="D20" s="31"/>
      <c r="E20" s="21" t="str">
        <f ca="1">IF(OR(M20&gt;0,M20&lt;0),"X","")</f>
        <v/>
      </c>
      <c r="F20" s="16"/>
      <c r="G20" s="16" t="str">
        <f>'Measure Data'!B6</f>
        <v>BPH7</v>
      </c>
      <c r="H20" s="16" t="str">
        <f>'Measure Data'!C6</f>
        <v>141 - 225 kBtuh input</v>
      </c>
      <c r="I20" s="258" t="str">
        <f>IFERROR(IF(isPublic,'Measure Data'!I6,'Measure Data'!J6),"SEE NOTE")</f>
        <v>SEE NOTE</v>
      </c>
      <c r="J20" s="17" t="s">
        <v>67</v>
      </c>
      <c r="K20" s="275" t="str">
        <f>'Measure Data'!K6</f>
        <v>unit installed</v>
      </c>
      <c r="L20" s="16"/>
      <c r="M20" s="19">
        <f ca="1">SUMIF('HVAC-Heating'!G$14:H$20,SUMMARY!H20,'HVAC-Heating'!K$14:K$20)</f>
        <v>0</v>
      </c>
      <c r="N20" s="32"/>
    </row>
    <row r="21" spans="2:14" ht="5.5" customHeight="1" x14ac:dyDescent="0.35">
      <c r="B21" s="607"/>
      <c r="D21" s="33"/>
      <c r="E21" s="34"/>
      <c r="F21" s="35"/>
      <c r="G21" s="35"/>
      <c r="H21" s="35"/>
      <c r="I21" s="288"/>
      <c r="J21" s="36"/>
      <c r="K21" s="282"/>
      <c r="L21" s="35"/>
      <c r="M21" s="37"/>
      <c r="N21" s="38"/>
    </row>
    <row r="22" spans="2:14" ht="10.5" customHeight="1" x14ac:dyDescent="0.35">
      <c r="B22" s="607"/>
      <c r="E22" s="22" t="s">
        <v>97</v>
      </c>
      <c r="G22" s="16"/>
    </row>
    <row r="23" spans="2:14" ht="15" customHeight="1" x14ac:dyDescent="0.35">
      <c r="B23" s="607"/>
      <c r="D23" s="24"/>
      <c r="E23" s="40" t="str">
        <f>'Measure Data'!B10</f>
        <v>Gas Air Heaters</v>
      </c>
      <c r="F23" s="25"/>
      <c r="G23" s="40"/>
      <c r="H23" s="25"/>
      <c r="I23" s="287"/>
      <c r="J23" s="25"/>
      <c r="K23" s="281"/>
      <c r="L23" s="25"/>
      <c r="M23" s="25"/>
      <c r="N23" s="26"/>
    </row>
    <row r="24" spans="2:14" ht="5.5" customHeight="1" thickBot="1" x14ac:dyDescent="0.4">
      <c r="B24" s="607"/>
      <c r="D24" s="27"/>
      <c r="E24" s="28"/>
      <c r="F24" s="29"/>
      <c r="G24" s="23"/>
      <c r="H24" s="29"/>
      <c r="I24" s="235"/>
      <c r="J24" s="29"/>
      <c r="K24" s="210"/>
      <c r="L24" s="29"/>
      <c r="M24" s="29"/>
      <c r="N24" s="30"/>
    </row>
    <row r="25" spans="2:14" ht="13.5" customHeight="1" thickBot="1" x14ac:dyDescent="0.4">
      <c r="B25" s="607"/>
      <c r="D25" s="31"/>
      <c r="E25" s="21" t="str">
        <f>IF(OR(M25&gt;0,M25&lt;0),"X","")</f>
        <v/>
      </c>
      <c r="F25" s="16"/>
      <c r="G25" s="16" t="str">
        <f>'Measure Data'!B12</f>
        <v>BPH20</v>
      </c>
      <c r="H25" s="16" t="str">
        <f>'Measure Data'!C12</f>
        <v>HVAC condensing furnace</v>
      </c>
      <c r="I25" s="285" t="str">
        <f>IFERROR(IF(isPublic,'Measure Data'!I12,'Measure Data'!J12),"SEE NOTE")</f>
        <v>SEE NOTE</v>
      </c>
      <c r="J25" s="17" t="s">
        <v>67</v>
      </c>
      <c r="K25" s="275" t="str">
        <f>'Measure Data'!K12</f>
        <v>kBtuh</v>
      </c>
      <c r="L25" s="16"/>
      <c r="M25" s="19">
        <f>SUMIF('HVAC-Heating'!I:I,SUMMARY!G25,'HVAC-Heating'!K:K)</f>
        <v>0</v>
      </c>
      <c r="N25" s="32"/>
    </row>
    <row r="26" spans="2:14" ht="5.5" customHeight="1" x14ac:dyDescent="0.35">
      <c r="B26" s="607"/>
      <c r="D26" s="33"/>
      <c r="E26" s="34"/>
      <c r="F26" s="35"/>
      <c r="G26" s="35"/>
      <c r="H26" s="35"/>
      <c r="I26" s="288"/>
      <c r="J26" s="36"/>
      <c r="K26" s="282"/>
      <c r="L26" s="35"/>
      <c r="M26" s="37"/>
      <c r="N26" s="38"/>
    </row>
    <row r="27" spans="2:14" ht="10.5" customHeight="1" x14ac:dyDescent="0.35">
      <c r="B27" s="607"/>
      <c r="E27" s="22"/>
      <c r="G27" s="16"/>
    </row>
    <row r="28" spans="2:14" ht="15" customHeight="1" x14ac:dyDescent="0.35">
      <c r="B28" s="607"/>
      <c r="D28" s="24"/>
      <c r="E28" s="53" t="str">
        <f>'Measure Data'!B15</f>
        <v>HTHV Direct Fired Heaters</v>
      </c>
      <c r="F28" s="25"/>
      <c r="G28" s="40"/>
      <c r="H28" s="25"/>
      <c r="I28" s="287"/>
      <c r="J28" s="25"/>
      <c r="K28" s="281"/>
      <c r="L28" s="25"/>
      <c r="M28" s="25"/>
      <c r="N28" s="26"/>
    </row>
    <row r="29" spans="2:14" ht="5.5" customHeight="1" thickBot="1" x14ac:dyDescent="0.4">
      <c r="B29" s="607"/>
      <c r="D29" s="27"/>
      <c r="E29" s="28"/>
      <c r="F29" s="29"/>
      <c r="G29" s="23"/>
      <c r="H29" s="29"/>
      <c r="I29" s="235"/>
      <c r="J29" s="29"/>
      <c r="K29" s="210"/>
      <c r="L29" s="29"/>
      <c r="M29" s="29"/>
      <c r="N29" s="30"/>
    </row>
    <row r="30" spans="2:14" ht="13.5" customHeight="1" thickBot="1" x14ac:dyDescent="0.4">
      <c r="B30" s="607"/>
      <c r="D30" s="31"/>
      <c r="E30" s="21" t="str">
        <f>IF(OR(M30&gt;0,M30&lt;0),"X","")</f>
        <v/>
      </c>
      <c r="F30" s="16"/>
      <c r="G30" s="16" t="str">
        <f>'Measure Data'!B17</f>
        <v>BPH24</v>
      </c>
      <c r="H30" s="16" t="str">
        <f>'Measure Data'!C17</f>
        <v>High temperature heating and ventilation direct fired gas heater</v>
      </c>
      <c r="I30" s="285" t="str">
        <f>IFERROR(IF(isPublic,'Measure Data'!I17,'Measure Data'!J17),"SEE NOTE")</f>
        <v>SEE NOTE</v>
      </c>
      <c r="J30" s="17" t="s">
        <v>67</v>
      </c>
      <c r="K30" s="275" t="str">
        <f>'Measure Data'!K17</f>
        <v>kBtuh</v>
      </c>
      <c r="L30" s="16"/>
      <c r="M30" s="19">
        <f>SUMIF('HVAC-Heating'!I$39:I$46,SUMMARY!G30,'HVAC-Heating'!K$39:K$46)</f>
        <v>0</v>
      </c>
      <c r="N30" s="32"/>
    </row>
    <row r="31" spans="2:14" ht="5.5" customHeight="1" x14ac:dyDescent="0.35">
      <c r="B31" s="607"/>
      <c r="D31" s="33"/>
      <c r="E31" s="34"/>
      <c r="F31" s="35"/>
      <c r="G31" s="35"/>
      <c r="H31" s="35"/>
      <c r="I31" s="288"/>
      <c r="J31" s="36"/>
      <c r="K31" s="282"/>
      <c r="L31" s="35"/>
      <c r="M31" s="37"/>
      <c r="N31" s="38"/>
    </row>
    <row r="32" spans="2:14" ht="10.5" customHeight="1" x14ac:dyDescent="0.35">
      <c r="B32" s="607"/>
      <c r="E32" s="22"/>
      <c r="G32" s="16"/>
    </row>
    <row r="33" spans="2:14" ht="15" hidden="1" customHeight="1" x14ac:dyDescent="0.35">
      <c r="B33" s="607"/>
      <c r="D33" s="24"/>
      <c r="E33" s="53" t="str">
        <f>'Measure Data'!B20</f>
        <v>Infrared Heaters</v>
      </c>
      <c r="F33" s="25"/>
      <c r="G33" s="40"/>
      <c r="H33" s="25"/>
      <c r="I33" s="287"/>
      <c r="J33" s="25"/>
      <c r="K33" s="281"/>
      <c r="L33" s="25"/>
      <c r="M33" s="25"/>
      <c r="N33" s="26"/>
    </row>
    <row r="34" spans="2:14" ht="5.5" hidden="1" customHeight="1" thickBot="1" x14ac:dyDescent="0.4">
      <c r="B34" s="607"/>
      <c r="D34" s="27"/>
      <c r="E34" s="28"/>
      <c r="F34" s="29"/>
      <c r="G34" s="23"/>
      <c r="H34" s="29"/>
      <c r="I34" s="235"/>
      <c r="J34" s="29"/>
      <c r="K34" s="210"/>
      <c r="L34" s="29"/>
      <c r="M34" s="29"/>
      <c r="N34" s="30"/>
    </row>
    <row r="35" spans="2:14" ht="13.5" hidden="1" customHeight="1" thickBot="1" x14ac:dyDescent="0.4">
      <c r="B35" s="607"/>
      <c r="D35" s="31"/>
      <c r="E35" s="21" t="str">
        <f>IF(OR(M35&gt;0,M35&lt;0),"X","")</f>
        <v/>
      </c>
      <c r="F35" s="16"/>
      <c r="G35" s="16" t="str">
        <f>'Measure Data'!B22</f>
        <v>BPH10</v>
      </c>
      <c r="H35" s="16" t="str">
        <f>'Measure Data'!C22</f>
        <v>20 - 250 kBtuh input</v>
      </c>
      <c r="I35" s="258" t="str">
        <f>IFERROR(IF(isPublic,'Measure Data'!I22,'Measure Data'!J22),"SEE NOTE")</f>
        <v>SEE NOTE</v>
      </c>
      <c r="J35" s="17" t="s">
        <v>67</v>
      </c>
      <c r="K35" s="275" t="str">
        <f>'Measure Data'!K22</f>
        <v>unit installed</v>
      </c>
      <c r="L35" s="16"/>
      <c r="M35" s="19">
        <f>SUMIF('HVAC-Heating'!I:I,SUMMARY!G35,'HVAC-Heating'!K:K)</f>
        <v>0</v>
      </c>
      <c r="N35" s="32"/>
    </row>
    <row r="36" spans="2:14" ht="5.5" hidden="1" customHeight="1" x14ac:dyDescent="0.35">
      <c r="B36" s="607"/>
      <c r="D36" s="33"/>
      <c r="E36" s="34"/>
      <c r="F36" s="35"/>
      <c r="G36" s="35"/>
      <c r="H36" s="35"/>
      <c r="I36" s="288"/>
      <c r="J36" s="36"/>
      <c r="K36" s="282"/>
      <c r="L36" s="35"/>
      <c r="M36" s="37"/>
      <c r="N36" s="38"/>
    </row>
    <row r="37" spans="2:14" ht="15" customHeight="1" x14ac:dyDescent="0.35">
      <c r="B37" s="607"/>
      <c r="D37" s="24"/>
      <c r="E37" s="53" t="str">
        <f>'Measure Data'!B25</f>
        <v>Gas Boilers</v>
      </c>
      <c r="F37" s="25"/>
      <c r="G37" s="25"/>
      <c r="H37" s="25"/>
      <c r="I37" s="287"/>
      <c r="J37" s="25"/>
      <c r="K37" s="281"/>
      <c r="L37" s="25"/>
      <c r="M37" s="25"/>
      <c r="N37" s="26"/>
    </row>
    <row r="38" spans="2:14" s="11" customFormat="1" ht="5.5" customHeight="1" thickBot="1" x14ac:dyDescent="0.4">
      <c r="B38" s="607"/>
      <c r="D38" s="27"/>
      <c r="E38" s="28"/>
      <c r="F38" s="29"/>
      <c r="G38" s="23"/>
      <c r="H38" s="29"/>
      <c r="I38" s="235"/>
      <c r="J38" s="29"/>
      <c r="K38" s="210"/>
      <c r="L38" s="29"/>
      <c r="M38" s="29"/>
      <c r="N38" s="30"/>
    </row>
    <row r="39" spans="2:14" ht="13.5" customHeight="1" thickBot="1" x14ac:dyDescent="0.4">
      <c r="B39" s="607"/>
      <c r="D39" s="31"/>
      <c r="E39" s="21" t="str">
        <f>IF(OR(M39&gt;0,M39&lt;0),"X","")</f>
        <v/>
      </c>
      <c r="F39" s="16"/>
      <c r="G39" s="16" t="str">
        <f>'Measure Data'!B27</f>
        <v>BPH4</v>
      </c>
      <c r="H39" s="16" t="str">
        <f>'Measure Data'!C27</f>
        <v>Up to 299 kBtuh input</v>
      </c>
      <c r="I39" s="258" t="str">
        <f>IFERROR(IF(isPublic,'Measure Data'!I27,'Measure Data'!J27),"SEE NOTE")</f>
        <v>SEE NOTE</v>
      </c>
      <c r="J39" s="17" t="s">
        <v>67</v>
      </c>
      <c r="K39" s="275" t="str">
        <f>'Measure Data'!K27</f>
        <v>unit installed</v>
      </c>
      <c r="L39" s="16"/>
      <c r="M39" s="19">
        <f>SUMIF('HVAC-Heating'!G$66:G$75,SUMMARY!H39,'HVAC-Heating'!K$66:K$75)</f>
        <v>0</v>
      </c>
      <c r="N39" s="32"/>
    </row>
    <row r="40" spans="2:14" ht="13.5" customHeight="1" thickBot="1" x14ac:dyDescent="0.4">
      <c r="B40" s="607"/>
      <c r="D40" s="31"/>
      <c r="E40" s="21" t="str">
        <f>IF(OR(M40&gt;0,M40&lt;0),"X","")</f>
        <v/>
      </c>
      <c r="F40" s="16"/>
      <c r="G40" s="16" t="str">
        <f>'Measure Data'!B28</f>
        <v>BPH4</v>
      </c>
      <c r="H40" s="16" t="str">
        <f>'Measure Data'!C28</f>
        <v>300 to 499 kBtuh input</v>
      </c>
      <c r="I40" s="258" t="str">
        <f>IFERROR(IF(isPublic,'Measure Data'!I28,'Measure Data'!J28),"SEE NOTE")</f>
        <v>SEE NOTE</v>
      </c>
      <c r="J40" s="17" t="s">
        <v>67</v>
      </c>
      <c r="K40" s="275" t="str">
        <f>'Measure Data'!K28</f>
        <v>unit installed</v>
      </c>
      <c r="L40" s="16"/>
      <c r="M40" s="19">
        <f>SUMIF('HVAC-Heating'!G$66:G$75,SUMMARY!H40,'HVAC-Heating'!K$66:K$75)</f>
        <v>0</v>
      </c>
      <c r="N40" s="32"/>
    </row>
    <row r="41" spans="2:14" ht="13.5" customHeight="1" thickBot="1" x14ac:dyDescent="0.4">
      <c r="B41" s="607"/>
      <c r="D41" s="31"/>
      <c r="E41" s="21" t="str">
        <f>IF(OR(M41&gt;0,M41&lt;0),"X","")</f>
        <v/>
      </c>
      <c r="F41" s="16"/>
      <c r="G41" s="16" t="str">
        <f>'Measure Data'!B29</f>
        <v>BPH4</v>
      </c>
      <c r="H41" s="16" t="str">
        <f>'Measure Data'!C29</f>
        <v>500 to 999 kBtuh input</v>
      </c>
      <c r="I41" s="258" t="str">
        <f>IFERROR(IF(isPublic,'Measure Data'!I29,'Measure Data'!J29),"SEE NOTE")</f>
        <v>SEE NOTE</v>
      </c>
      <c r="J41" s="17" t="s">
        <v>67</v>
      </c>
      <c r="K41" s="275" t="str">
        <f>'Measure Data'!K29</f>
        <v>unit installed</v>
      </c>
      <c r="L41" s="16"/>
      <c r="M41" s="19">
        <f>SUMIF('HVAC-Heating'!G$66:G$75,SUMMARY!H41,'HVAC-Heating'!K$66:K$75)</f>
        <v>0</v>
      </c>
      <c r="N41" s="32"/>
    </row>
    <row r="42" spans="2:14" ht="13.5" customHeight="1" thickBot="1" x14ac:dyDescent="0.4">
      <c r="B42" s="607"/>
      <c r="D42" s="31"/>
      <c r="E42" s="21" t="str">
        <f>IF(OR(M42&gt;0,M42&lt;0),"X","")</f>
        <v/>
      </c>
      <c r="F42" s="16"/>
      <c r="G42" s="16" t="str">
        <f>'Measure Data'!B30</f>
        <v>BPH4</v>
      </c>
      <c r="H42" s="16" t="str">
        <f>'Measure Data'!C30</f>
        <v>1,000 to 1,699 kBtuh input</v>
      </c>
      <c r="I42" s="258" t="str">
        <f>IFERROR(IF(isPublic,'Measure Data'!I30,'Measure Data'!J30),"SEE NOTE")</f>
        <v>SEE NOTE</v>
      </c>
      <c r="J42" s="17" t="s">
        <v>67</v>
      </c>
      <c r="K42" s="275" t="str">
        <f>'Measure Data'!K30</f>
        <v>unit installed</v>
      </c>
      <c r="L42" s="16"/>
      <c r="M42" s="19">
        <f>SUMIF('HVAC-Heating'!G$66:G$75,SUMMARY!H42,'HVAC-Heating'!K$66:K$75)</f>
        <v>0</v>
      </c>
      <c r="N42" s="32"/>
    </row>
    <row r="43" spans="2:14" ht="13.5" customHeight="1" thickBot="1" x14ac:dyDescent="0.4">
      <c r="B43" s="607"/>
      <c r="D43" s="31"/>
      <c r="E43" s="21" t="str">
        <f>IF(OR(M43&gt;0,M43&lt;0),"X","")</f>
        <v/>
      </c>
      <c r="F43" s="16"/>
      <c r="G43" s="16" t="str">
        <f>'Measure Data'!B31</f>
        <v>BPH4</v>
      </c>
      <c r="H43" s="16" t="str">
        <f>'Measure Data'!C31</f>
        <v>1,700 kBtuh input and higher</v>
      </c>
      <c r="I43" s="258" t="str">
        <f>IFERROR(IF(isPublic,'Measure Data'!I31,'Measure Data'!J31),"SEE NOTE")</f>
        <v>SEE NOTE</v>
      </c>
      <c r="J43" s="17" t="s">
        <v>67</v>
      </c>
      <c r="K43" s="275" t="str">
        <f>'Measure Data'!K31</f>
        <v>unit installed</v>
      </c>
      <c r="L43" s="16"/>
      <c r="M43" s="19">
        <f>SUMIF('HVAC-Heating'!G$66:G$75,SUMMARY!H43,'HVAC-Heating'!K$66:K$75)</f>
        <v>0</v>
      </c>
      <c r="N43" s="32"/>
    </row>
    <row r="44" spans="2:14" ht="5.5" customHeight="1" x14ac:dyDescent="0.35">
      <c r="B44" s="607"/>
      <c r="D44" s="33"/>
      <c r="E44" s="34"/>
      <c r="F44" s="35"/>
      <c r="G44" s="35"/>
      <c r="H44" s="35"/>
      <c r="I44" s="288"/>
      <c r="J44" s="36"/>
      <c r="K44" s="282"/>
      <c r="L44" s="35"/>
      <c r="M44" s="37"/>
      <c r="N44" s="38"/>
    </row>
    <row r="45" spans="2:14" ht="13" customHeight="1" x14ac:dyDescent="0.35">
      <c r="E45" s="22"/>
      <c r="G45" s="16"/>
    </row>
    <row r="46" spans="2:14" ht="15" customHeight="1" x14ac:dyDescent="0.35">
      <c r="B46" s="610" t="s">
        <v>1091</v>
      </c>
      <c r="D46" s="24"/>
      <c r="E46" s="40" t="str">
        <f>'Measure Data'!B42</f>
        <v>Air-cooled Chillers</v>
      </c>
      <c r="F46" s="25"/>
      <c r="G46" s="40"/>
      <c r="H46" s="25"/>
      <c r="I46" s="287"/>
      <c r="J46" s="25"/>
      <c r="K46" s="281"/>
      <c r="L46" s="25"/>
      <c r="M46" s="25"/>
      <c r="N46" s="26"/>
    </row>
    <row r="47" spans="2:14" ht="6" customHeight="1" thickBot="1" x14ac:dyDescent="0.4">
      <c r="B47" s="611"/>
      <c r="D47" s="27"/>
      <c r="E47" s="28"/>
      <c r="F47" s="29"/>
      <c r="G47" s="23"/>
      <c r="H47" s="29"/>
      <c r="I47" s="235"/>
      <c r="J47" s="29"/>
      <c r="K47" s="210"/>
      <c r="L47" s="29"/>
      <c r="M47" s="29"/>
      <c r="N47" s="30"/>
    </row>
    <row r="48" spans="2:14" ht="13.5" customHeight="1" thickBot="1" x14ac:dyDescent="0.4">
      <c r="B48" s="611"/>
      <c r="D48" s="31"/>
      <c r="E48" s="21" t="str">
        <f>IF(OR(M48&gt;0,M48&lt;0),"X","")</f>
        <v/>
      </c>
      <c r="F48" s="16"/>
      <c r="G48" s="16" t="str">
        <f>'Measure Data'!B44</f>
        <v>BPC12</v>
      </c>
      <c r="H48" s="16" t="str">
        <f>'Measure Data'!C44</f>
        <v>Up to 150 tons, better than 10.1 full load EER and 13.7 IPLV EER</v>
      </c>
      <c r="I48" s="258" t="str">
        <f>IFERROR(IF(isPublic,'Measure Data'!I44,'Measure Data'!J44),"SEE NOTE")</f>
        <v>SEE NOTE</v>
      </c>
      <c r="J48" s="17" t="s">
        <v>67</v>
      </c>
      <c r="K48" s="275" t="str">
        <f>'Measure Data'!K44</f>
        <v>unit installed</v>
      </c>
      <c r="L48" s="16"/>
      <c r="M48" s="19">
        <f>SUMIF('HVAC-Cooling'!I:I,SUMMARY!G48,'HVAC-Cooling'!K:K)</f>
        <v>0</v>
      </c>
      <c r="N48" s="32"/>
    </row>
    <row r="49" spans="2:14" ht="13.5" customHeight="1" thickBot="1" x14ac:dyDescent="0.4">
      <c r="B49" s="611"/>
      <c r="D49" s="31"/>
      <c r="E49" s="21" t="str">
        <f>IF(OR(M49&gt;0,M49&lt;0),"X","")</f>
        <v/>
      </c>
      <c r="F49" s="16"/>
      <c r="G49" s="16" t="str">
        <f>'Measure Data'!B45</f>
        <v>BPC26</v>
      </c>
      <c r="H49" s="16" t="str">
        <f>'Measure Data'!C45</f>
        <v>150 tons and larger, better than 10.1 full load EER and 14 IPLV EER</v>
      </c>
      <c r="I49" s="258" t="str">
        <f>IFERROR(IF(isPublic,'Measure Data'!I45,'Measure Data'!J45),"SEE NOTE")</f>
        <v>SEE NOTE</v>
      </c>
      <c r="J49" s="17" t="s">
        <v>67</v>
      </c>
      <c r="K49" s="275" t="str">
        <f>'Measure Data'!K45</f>
        <v>unit installed</v>
      </c>
      <c r="L49" s="16"/>
      <c r="M49" s="19">
        <f>SUMIF('HVAC-Cooling'!I:I,SUMMARY!G49,'HVAC-Cooling'!K:K)</f>
        <v>0</v>
      </c>
      <c r="N49" s="32"/>
    </row>
    <row r="50" spans="2:14" ht="5.5" customHeight="1" x14ac:dyDescent="0.35">
      <c r="B50" s="611"/>
      <c r="D50" s="33"/>
      <c r="E50" s="34"/>
      <c r="F50" s="35"/>
      <c r="G50" s="35"/>
      <c r="H50" s="35"/>
      <c r="I50" s="288"/>
      <c r="J50" s="36"/>
      <c r="K50" s="282"/>
      <c r="L50" s="35"/>
      <c r="M50" s="37"/>
      <c r="N50" s="38"/>
    </row>
    <row r="51" spans="2:14" ht="10.5" customHeight="1" x14ac:dyDescent="0.35">
      <c r="B51" s="611"/>
      <c r="D51" s="16"/>
      <c r="E51" s="22"/>
      <c r="F51" s="16"/>
      <c r="G51" s="16"/>
      <c r="H51" s="16"/>
      <c r="I51" s="285"/>
      <c r="J51" s="17"/>
      <c r="K51" s="275"/>
      <c r="L51" s="16"/>
      <c r="M51" s="18"/>
      <c r="N51" s="16"/>
    </row>
    <row r="52" spans="2:14" ht="15" customHeight="1" x14ac:dyDescent="0.35">
      <c r="B52" s="611"/>
      <c r="D52" s="24"/>
      <c r="E52" s="40" t="str">
        <f>'Measure Data'!B48</f>
        <v>PTAC/PTHP Units</v>
      </c>
      <c r="F52" s="25"/>
      <c r="G52" s="40"/>
      <c r="H52" s="25"/>
      <c r="I52" s="287"/>
      <c r="J52" s="25"/>
      <c r="K52" s="281"/>
      <c r="L52" s="25"/>
      <c r="M52" s="25"/>
      <c r="N52" s="26"/>
    </row>
    <row r="53" spans="2:14" ht="5.5" customHeight="1" thickBot="1" x14ac:dyDescent="0.4">
      <c r="B53" s="611"/>
      <c r="D53" s="27"/>
      <c r="E53" s="28"/>
      <c r="F53" s="29"/>
      <c r="G53" s="23"/>
      <c r="H53" s="29"/>
      <c r="I53" s="235"/>
      <c r="J53" s="29"/>
      <c r="K53" s="210"/>
      <c r="L53" s="29"/>
      <c r="M53" s="29"/>
      <c r="N53" s="30"/>
    </row>
    <row r="54" spans="2:14" ht="13.5" customHeight="1" thickBot="1" x14ac:dyDescent="0.4">
      <c r="B54" s="611"/>
      <c r="D54" s="31"/>
      <c r="E54" s="21" t="str">
        <f>IF(OR(M54&gt;0,M54&lt;0),"X","")</f>
        <v/>
      </c>
      <c r="F54" s="16"/>
      <c r="G54" s="16" t="str">
        <f>'Measure Data'!B50</f>
        <v>BPC27</v>
      </c>
      <c r="H54" s="16" t="str">
        <f>'Measure Data'!C50</f>
        <v>Less than 65 kBtuh, minimum 13 EER or minimum SEER 16.42</v>
      </c>
      <c r="I54" s="258" t="str">
        <f>IFERROR(IF(isPublic,'Measure Data'!I50,'Measure Data'!J50),"SEE NOTE")</f>
        <v>SEE NOTE</v>
      </c>
      <c r="J54" s="17" t="s">
        <v>67</v>
      </c>
      <c r="K54" s="275" t="str">
        <f>'Measure Data'!K50</f>
        <v>unit installed</v>
      </c>
      <c r="L54" s="16"/>
      <c r="M54" s="19">
        <f>SUMIF('HVAC-Cooling'!I:I,SUMMARY!G54,'HVAC-Cooling'!K:K)</f>
        <v>0</v>
      </c>
      <c r="N54" s="32"/>
    </row>
    <row r="55" spans="2:14" ht="5.5" customHeight="1" x14ac:dyDescent="0.35">
      <c r="B55" s="612"/>
      <c r="D55" s="33"/>
      <c r="E55" s="34"/>
      <c r="F55" s="35"/>
      <c r="G55" s="35"/>
      <c r="H55" s="35"/>
      <c r="I55" s="288"/>
      <c r="J55" s="36"/>
      <c r="K55" s="282"/>
      <c r="L55" s="35"/>
      <c r="M55" s="37"/>
      <c r="N55" s="38"/>
    </row>
    <row r="56" spans="2:14" ht="13" customHeight="1" x14ac:dyDescent="0.35">
      <c r="E56" s="22"/>
      <c r="G56" s="16"/>
    </row>
    <row r="57" spans="2:14" ht="15" customHeight="1" x14ac:dyDescent="0.35">
      <c r="B57" s="610" t="s">
        <v>499</v>
      </c>
      <c r="D57" s="24"/>
      <c r="E57" s="53" t="str">
        <f>'Measure Data'!B53</f>
        <v>Controls for Multifamily Facility Hot Water</v>
      </c>
      <c r="F57" s="25"/>
      <c r="G57" s="25"/>
      <c r="H57" s="25"/>
      <c r="I57" s="287"/>
      <c r="J57" s="25"/>
      <c r="K57" s="281"/>
      <c r="L57" s="25"/>
      <c r="M57" s="25"/>
      <c r="N57" s="26"/>
    </row>
    <row r="58" spans="2:14" s="11" customFormat="1" ht="5.5" customHeight="1" thickBot="1" x14ac:dyDescent="0.4">
      <c r="B58" s="611"/>
      <c r="D58" s="27"/>
      <c r="E58" s="28"/>
      <c r="F58" s="29"/>
      <c r="G58" s="23"/>
      <c r="H58" s="29"/>
      <c r="I58" s="235"/>
      <c r="J58" s="29"/>
      <c r="K58" s="210"/>
      <c r="L58" s="29"/>
      <c r="M58" s="29"/>
      <c r="N58" s="30"/>
    </row>
    <row r="59" spans="2:14" ht="13.5" customHeight="1" thickBot="1" x14ac:dyDescent="0.4">
      <c r="B59" s="611"/>
      <c r="D59" s="31"/>
      <c r="E59" s="21" t="str">
        <f>IF(OR(M59&gt;0,M59&lt;0),"X","")</f>
        <v/>
      </c>
      <c r="F59" s="16"/>
      <c r="G59" s="16" t="str">
        <f>'Measure Data'!B55</f>
        <v>BPWH7</v>
      </c>
      <c r="H59" s="16" t="str">
        <f>'Measure Data'!C55</f>
        <v>Controls for centralized domestic hot water system</v>
      </c>
      <c r="I59" s="258" t="str">
        <f>IFERROR(IF(isPublic,'Measure Data'!I55,'Measure Data'!J55),"SEE NOTE")</f>
        <v>SEE NOTE</v>
      </c>
      <c r="J59" s="17" t="s">
        <v>67</v>
      </c>
      <c r="K59" s="275" t="str">
        <f>'Measure Data'!K55</f>
        <v>living unit served</v>
      </c>
      <c r="L59" s="16"/>
      <c r="M59" s="19">
        <f>SUMIF('Hot Water'!G:G,SUMMARY!G59,'Hot Water'!I:I)</f>
        <v>0</v>
      </c>
      <c r="N59" s="32"/>
    </row>
    <row r="60" spans="2:14" ht="5.5" customHeight="1" x14ac:dyDescent="0.35">
      <c r="B60" s="611"/>
      <c r="D60" s="33"/>
      <c r="E60" s="34"/>
      <c r="F60" s="35"/>
      <c r="G60" s="35"/>
      <c r="H60" s="35"/>
      <c r="I60" s="288"/>
      <c r="J60" s="36"/>
      <c r="K60" s="282"/>
      <c r="L60" s="35"/>
      <c r="M60" s="37"/>
      <c r="N60" s="38"/>
    </row>
    <row r="61" spans="2:14" ht="10.5" customHeight="1" x14ac:dyDescent="0.35">
      <c r="B61" s="611"/>
      <c r="E61" s="22"/>
      <c r="F61" s="16"/>
      <c r="G61" s="16"/>
      <c r="H61" s="16"/>
      <c r="I61" s="285"/>
      <c r="J61" s="17"/>
      <c r="K61" s="275"/>
      <c r="L61" s="16"/>
      <c r="M61" s="18"/>
    </row>
    <row r="62" spans="2:14" ht="15" hidden="1" customHeight="1" x14ac:dyDescent="0.35">
      <c r="B62" s="611"/>
      <c r="D62" s="24"/>
      <c r="E62" s="53" t="str">
        <f>'Measure Data'!B58</f>
        <v>Commercial Tankless Water Heaters (Electric)</v>
      </c>
      <c r="F62" s="25"/>
      <c r="G62" s="40"/>
      <c r="H62" s="25"/>
      <c r="I62" s="287"/>
      <c r="J62" s="25"/>
      <c r="K62" s="281"/>
      <c r="L62" s="25"/>
      <c r="M62" s="25"/>
      <c r="N62" s="26"/>
    </row>
    <row r="63" spans="2:14" ht="6" hidden="1" customHeight="1" thickBot="1" x14ac:dyDescent="0.4">
      <c r="B63" s="611"/>
      <c r="D63" s="27"/>
      <c r="E63" s="28"/>
      <c r="F63" s="29"/>
      <c r="G63" s="23"/>
      <c r="H63" s="29"/>
      <c r="I63" s="235"/>
      <c r="J63" s="29"/>
      <c r="K63" s="210"/>
      <c r="L63" s="29"/>
      <c r="M63" s="29"/>
      <c r="N63" s="30"/>
    </row>
    <row r="64" spans="2:14" ht="13.5" hidden="1" customHeight="1" thickBot="1" x14ac:dyDescent="0.4">
      <c r="B64" s="611"/>
      <c r="D64" s="31"/>
      <c r="E64" s="21" t="str">
        <f>IF(OR(M64&gt;0,M64&lt;0),"X","")</f>
        <v/>
      </c>
      <c r="F64" s="16"/>
      <c r="G64" s="16" t="str">
        <f>'Measure Data'!B60</f>
        <v>BPWH2</v>
      </c>
      <c r="H64" s="16" t="str">
        <f>'Measure Data'!C60</f>
        <v>5.0-9.9 GPM, minimum 70°F temperature rise and 0.98 energy factor</v>
      </c>
      <c r="I64" s="258" t="str">
        <f>IFERROR(IF(isPublic,'Measure Data'!I60,'Measure Data'!J60),"SEE NOTE")</f>
        <v>SEE NOTE</v>
      </c>
      <c r="J64" s="17" t="s">
        <v>67</v>
      </c>
      <c r="K64" s="275" t="str">
        <f>'Measure Data'!K60</f>
        <v>heater</v>
      </c>
      <c r="L64" s="16"/>
      <c r="M64" s="19">
        <f>SUMIF('Hot Water'!G:G,SUMMARY!G64,'Hot Water'!I:I)</f>
        <v>0</v>
      </c>
      <c r="N64" s="32"/>
    </row>
    <row r="65" spans="2:14" ht="5.5" hidden="1" customHeight="1" x14ac:dyDescent="0.35">
      <c r="B65" s="611"/>
      <c r="D65" s="33"/>
      <c r="E65" s="34"/>
      <c r="F65" s="35"/>
      <c r="G65" s="35"/>
      <c r="H65" s="35"/>
      <c r="I65" s="288"/>
      <c r="J65" s="36"/>
      <c r="K65" s="282"/>
      <c r="L65" s="35"/>
      <c r="M65" s="37"/>
      <c r="N65" s="38"/>
    </row>
    <row r="66" spans="2:14" ht="10.5" hidden="1" customHeight="1" x14ac:dyDescent="0.35">
      <c r="B66" s="611"/>
      <c r="E66" s="22"/>
      <c r="F66" s="16"/>
      <c r="G66" s="16"/>
      <c r="H66" s="16"/>
      <c r="I66" s="285"/>
      <c r="J66" s="17"/>
      <c r="K66" s="275"/>
      <c r="L66" s="16"/>
      <c r="M66" s="18"/>
    </row>
    <row r="67" spans="2:14" ht="15" customHeight="1" x14ac:dyDescent="0.35">
      <c r="B67" s="611"/>
      <c r="D67" s="24"/>
      <c r="E67" s="53" t="str">
        <f>'Measure Data'!B65</f>
        <v>Commercial Tanked Water Heaters (Gas)</v>
      </c>
      <c r="F67" s="25"/>
      <c r="G67" s="40"/>
      <c r="H67" s="25"/>
      <c r="I67" s="287"/>
      <c r="J67" s="25"/>
      <c r="K67" s="281"/>
      <c r="L67" s="25"/>
      <c r="M67" s="25"/>
      <c r="N67" s="26"/>
    </row>
    <row r="68" spans="2:14" ht="6" customHeight="1" thickBot="1" x14ac:dyDescent="0.4">
      <c r="B68" s="611"/>
      <c r="D68" s="27"/>
      <c r="E68" s="28"/>
      <c r="F68" s="29"/>
      <c r="G68" s="23"/>
      <c r="H68" s="29"/>
      <c r="I68" s="235"/>
      <c r="J68" s="29"/>
      <c r="K68" s="210"/>
      <c r="L68" s="29"/>
      <c r="M68" s="29"/>
      <c r="N68" s="30"/>
    </row>
    <row r="69" spans="2:14" ht="13.5" customHeight="1" thickBot="1" x14ac:dyDescent="0.4">
      <c r="B69" s="611"/>
      <c r="D69" s="31"/>
      <c r="E69" s="21" t="str">
        <f>IF(OR(M69&gt;0,M69&lt;0),"X","")</f>
        <v/>
      </c>
      <c r="F69" s="16"/>
      <c r="G69" s="16" t="str">
        <f>'Measure Data'!B67</f>
        <v>BPWH5</v>
      </c>
      <c r="H69" s="16" t="str">
        <f>'Measure Data'!C67</f>
        <v>Minimum 50 gal, 75 MBTUH and 88% efficiency</v>
      </c>
      <c r="I69" s="258" t="str">
        <f>IFERROR(IF(isPublic,'Measure Data'!I67,'Measure Data'!J67),"SEE NOTE")</f>
        <v>SEE NOTE</v>
      </c>
      <c r="J69" s="17" t="s">
        <v>67</v>
      </c>
      <c r="K69" s="275" t="str">
        <f>'Measure Data'!K67</f>
        <v>heater</v>
      </c>
      <c r="L69" s="16"/>
      <c r="M69" s="19">
        <f>SUMIF('Hot Water'!G:G,SUMMARY!G69,'Hot Water'!I:I)</f>
        <v>0</v>
      </c>
      <c r="N69" s="32"/>
    </row>
    <row r="70" spans="2:14" ht="5.5" customHeight="1" x14ac:dyDescent="0.35">
      <c r="B70" s="612"/>
      <c r="D70" s="33"/>
      <c r="E70" s="34"/>
      <c r="F70" s="35"/>
      <c r="G70" s="35"/>
      <c r="H70" s="35"/>
      <c r="I70" s="288"/>
      <c r="J70" s="36"/>
      <c r="K70" s="282"/>
      <c r="L70" s="35"/>
      <c r="M70" s="37"/>
      <c r="N70" s="38"/>
    </row>
    <row r="71" spans="2:14" ht="13" customHeight="1" x14ac:dyDescent="0.35">
      <c r="E71" s="22"/>
      <c r="G71" s="16"/>
    </row>
    <row r="72" spans="2:14" ht="15" customHeight="1" x14ac:dyDescent="0.35">
      <c r="B72" s="610" t="s">
        <v>617</v>
      </c>
      <c r="D72" s="24"/>
      <c r="E72" s="40" t="s">
        <v>624</v>
      </c>
      <c r="F72" s="25"/>
      <c r="G72" s="25"/>
      <c r="H72" s="25"/>
      <c r="I72" s="287"/>
      <c r="J72" s="25"/>
      <c r="K72" s="281"/>
      <c r="L72" s="25"/>
      <c r="M72" s="25"/>
      <c r="N72" s="26"/>
    </row>
    <row r="73" spans="2:14" s="11" customFormat="1" ht="5.5" customHeight="1" thickBot="1" x14ac:dyDescent="0.4">
      <c r="B73" s="611"/>
      <c r="D73" s="27"/>
      <c r="E73" s="28"/>
      <c r="F73" s="29"/>
      <c r="G73" s="23"/>
      <c r="H73" s="29"/>
      <c r="I73" s="235"/>
      <c r="J73" s="29"/>
      <c r="K73" s="210"/>
      <c r="L73" s="29"/>
      <c r="M73" s="29"/>
      <c r="N73" s="30"/>
    </row>
    <row r="74" spans="2:14" ht="13.5" customHeight="1" thickBot="1" x14ac:dyDescent="0.4">
      <c r="B74" s="611"/>
      <c r="D74" s="31"/>
      <c r="E74" s="21" t="str">
        <f>IF(OR(M74&gt;0,M74&lt;0),"X","")</f>
        <v/>
      </c>
      <c r="F74" s="16"/>
      <c r="G74" s="16" t="s">
        <v>618</v>
      </c>
      <c r="H74" s="16" t="str">
        <f>IFERROR("Custom electric - " &amp; IF(isDS2,"DS2",IF(isCustomPublic,"Public Sector","Private Sector")),"Custom electric project")</f>
        <v>Custom electric project</v>
      </c>
      <c r="I74" s="285" t="str">
        <f>IFERROR(IF(isCustomPublic,'Measure Data'!I72,'Measure Data'!J72),"SEE NOTE")</f>
        <v>SEE NOTE</v>
      </c>
      <c r="J74" s="17" t="s">
        <v>67</v>
      </c>
      <c r="K74" s="275" t="str">
        <f>'Measure Data'!K72&amp;"*"</f>
        <v>kWh*</v>
      </c>
      <c r="L74" s="16"/>
      <c r="M74" s="268">
        <f>'Custom-Electric'!D45+'Custom-Electric'!F45+'Custom-Electric'!H45+'Custom-Electric'!J45</f>
        <v>0</v>
      </c>
      <c r="N74" s="32"/>
    </row>
    <row r="75" spans="2:14" ht="13.5" customHeight="1" thickBot="1" x14ac:dyDescent="0.4">
      <c r="B75" s="611"/>
      <c r="D75" s="31"/>
      <c r="E75" s="21" t="str">
        <f>IF(OR(M75&gt;0,M75&lt;0),"X","")</f>
        <v/>
      </c>
      <c r="F75" s="16"/>
      <c r="G75" s="16" t="s">
        <v>619</v>
      </c>
      <c r="H75" s="16" t="str">
        <f>IFERROR("Custom electric - " &amp; IF(isDS2,"DS2",IF(isCustomPublic,"Public Sector","Private Sector")),"Custom gas project")</f>
        <v>Custom gas project</v>
      </c>
      <c r="I75" s="285" t="str">
        <f>IFERROR(IF(isCustomPublic,'Measure Data'!I73,'Measure Data'!J73),"SEE NOTE")</f>
        <v>SEE NOTE</v>
      </c>
      <c r="J75" s="17" t="s">
        <v>67</v>
      </c>
      <c r="K75" s="502" t="str">
        <f>'Measure Data'!K73&amp;"*"</f>
        <v>Therm*</v>
      </c>
      <c r="L75" s="16"/>
      <c r="M75" s="268">
        <f>'Custom-Gas'!D45+'Custom-Gas'!F45+'Custom-Gas'!H45+'Custom-Gas'!J45</f>
        <v>0</v>
      </c>
      <c r="N75" s="32"/>
    </row>
    <row r="76" spans="2:14" ht="13.5" customHeight="1" thickBot="1" x14ac:dyDescent="0.4">
      <c r="B76" s="611"/>
      <c r="D76" s="31"/>
      <c r="E76" s="21" t="str">
        <f>IF(OR(M76&gt;0,M76&lt;0),"X","")</f>
        <v/>
      </c>
      <c r="F76" s="16"/>
      <c r="G76" s="16" t="s">
        <v>620</v>
      </c>
      <c r="H76" s="16" t="str">
        <f>IFERROR("Custom electric - " &amp; IF(isDS2,"DS2",IF(isCustomPublic,"Public Sector","Private Sector")),"Custom water project")</f>
        <v>Custom water project</v>
      </c>
      <c r="I76" s="285" t="str">
        <f>IFERROR(IF(isCustomPublic,'Measure Data'!I74,'Measure Data'!J74),"SEE NOTE")</f>
        <v>SEE NOTE</v>
      </c>
      <c r="J76" s="17" t="s">
        <v>67</v>
      </c>
      <c r="K76" s="275" t="str">
        <f>'Measure Data'!K74</f>
        <v>kgal</v>
      </c>
      <c r="L76" s="16"/>
      <c r="M76" s="268">
        <f>'Custom-Water'!D26+'Custom-Water'!F26+'Custom-Water'!H26+'Custom-Water'!J26</f>
        <v>0</v>
      </c>
      <c r="N76" s="32"/>
    </row>
    <row r="77" spans="2:14" ht="5.5" customHeight="1" x14ac:dyDescent="0.35">
      <c r="B77" s="612"/>
      <c r="D77" s="33"/>
      <c r="E77" s="34"/>
      <c r="F77" s="35"/>
      <c r="G77" s="35"/>
      <c r="H77" s="35"/>
      <c r="I77" s="288"/>
      <c r="J77" s="36"/>
      <c r="K77" s="282"/>
      <c r="L77" s="35"/>
      <c r="M77" s="37"/>
      <c r="N77" s="38"/>
    </row>
    <row r="78" spans="2:14" ht="13" customHeight="1" x14ac:dyDescent="0.35">
      <c r="E78" s="22"/>
      <c r="G78" s="203"/>
    </row>
    <row r="79" spans="2:14" ht="15" customHeight="1" x14ac:dyDescent="0.35">
      <c r="B79" s="607" t="s">
        <v>1092</v>
      </c>
      <c r="D79" s="24"/>
      <c r="E79" s="53" t="str">
        <f>Hospitality!B9</f>
        <v>Green Nozzles</v>
      </c>
      <c r="F79" s="25"/>
      <c r="G79" s="25"/>
      <c r="H79" s="25"/>
      <c r="I79" s="287"/>
      <c r="J79" s="25"/>
      <c r="K79" s="281"/>
      <c r="L79" s="25"/>
      <c r="M79" s="25"/>
      <c r="N79" s="26"/>
    </row>
    <row r="80" spans="2:14" s="11" customFormat="1" ht="5.5" customHeight="1" thickBot="1" x14ac:dyDescent="0.4">
      <c r="B80" s="607"/>
      <c r="D80" s="27"/>
      <c r="E80" s="28"/>
      <c r="F80" s="29"/>
      <c r="G80" s="23"/>
      <c r="H80" s="29"/>
      <c r="I80" s="235"/>
      <c r="J80" s="29"/>
      <c r="K80" s="210"/>
      <c r="L80" s="29"/>
      <c r="M80" s="29"/>
      <c r="N80" s="30"/>
    </row>
    <row r="81" spans="1:14" ht="13.5" customHeight="1" thickBot="1" x14ac:dyDescent="0.4">
      <c r="B81" s="607"/>
      <c r="D81" s="31"/>
      <c r="E81" s="284"/>
      <c r="F81" s="16"/>
      <c r="G81" s="16" t="str">
        <f>Hospitality!B12</f>
        <v>Call toll free 1.866.800.0747 for details (Replaces current pre-rinse spray nozzle with low flow nozzle)</v>
      </c>
      <c r="I81" s="258"/>
      <c r="J81" s="17"/>
      <c r="K81" s="275"/>
      <c r="L81" s="16"/>
      <c r="M81" s="271" t="s">
        <v>776</v>
      </c>
      <c r="N81" s="32"/>
    </row>
    <row r="82" spans="1:14" ht="5.5" customHeight="1" x14ac:dyDescent="0.35">
      <c r="B82" s="607"/>
      <c r="D82" s="33"/>
      <c r="E82" s="34"/>
      <c r="F82" s="35"/>
      <c r="G82" s="35"/>
      <c r="H82" s="35"/>
      <c r="I82" s="288"/>
      <c r="J82" s="36"/>
      <c r="K82" s="282"/>
      <c r="L82" s="35"/>
      <c r="M82" s="37"/>
      <c r="N82" s="38"/>
    </row>
    <row r="83" spans="1:14" ht="11.15" customHeight="1" x14ac:dyDescent="0.35">
      <c r="A83" t="s">
        <v>763</v>
      </c>
      <c r="B83" s="607"/>
      <c r="E83" s="22"/>
      <c r="G83" s="16"/>
    </row>
    <row r="84" spans="1:14" ht="15" customHeight="1" x14ac:dyDescent="0.35">
      <c r="B84" s="607"/>
      <c r="D84" s="24"/>
      <c r="E84" s="53" t="e">
        <f>Hospitality!#REF!</f>
        <v>#REF!</v>
      </c>
      <c r="F84" s="25"/>
      <c r="G84" s="25"/>
      <c r="H84" s="25"/>
      <c r="I84" s="287"/>
      <c r="J84" s="25"/>
      <c r="K84" s="281"/>
      <c r="L84" s="25"/>
      <c r="M84" s="25"/>
      <c r="N84" s="26"/>
    </row>
    <row r="85" spans="1:14" s="11" customFormat="1" ht="5.5" customHeight="1" thickBot="1" x14ac:dyDescent="0.4">
      <c r="B85" s="607"/>
      <c r="D85" s="27"/>
      <c r="E85" s="28"/>
      <c r="F85" s="29"/>
      <c r="G85" s="23"/>
      <c r="H85" s="29"/>
      <c r="I85" s="235"/>
      <c r="J85" s="29"/>
      <c r="K85" s="210"/>
      <c r="L85" s="29"/>
      <c r="M85" s="29"/>
      <c r="N85" s="30"/>
    </row>
    <row r="86" spans="1:14" ht="13.5" customHeight="1" thickBot="1" x14ac:dyDescent="0.4">
      <c r="B86" s="607"/>
      <c r="D86" s="31"/>
      <c r="E86" s="21" t="str">
        <f>IF(OR(M86&gt;0,M86&lt;0),"X","")</f>
        <v/>
      </c>
      <c r="F86" s="16"/>
      <c r="G86" s="16" t="str">
        <f>'Measure Data'!B152</f>
        <v>BPCK21</v>
      </c>
      <c r="H86" s="16" t="str">
        <f>'Measure Data'!C152</f>
        <v>Demand control of kitchen ventilation fans</v>
      </c>
      <c r="I86" s="258" t="str">
        <f>IFERROR(IF(isPublic,'Measure Data'!I152,'Measure Data'!J152),"SEE NOTE")</f>
        <v>SEE NOTE</v>
      </c>
      <c r="J86" s="17" t="s">
        <v>67</v>
      </c>
      <c r="K86" s="275" t="str">
        <f>'Measure Data'!K152</f>
        <v>hp controlled</v>
      </c>
      <c r="L86" s="16"/>
      <c r="M86" s="19">
        <f>IFERROR(SUMIF(Hospitality!G:G,SUMMARY!G86,Hospitality!I:I),0)</f>
        <v>0</v>
      </c>
      <c r="N86" s="32"/>
    </row>
    <row r="87" spans="1:14" ht="5.5" customHeight="1" x14ac:dyDescent="0.35">
      <c r="B87" s="607"/>
      <c r="D87" s="33"/>
      <c r="E87" s="34"/>
      <c r="F87" s="35"/>
      <c r="G87" s="35"/>
      <c r="H87" s="35"/>
      <c r="I87" s="288"/>
      <c r="J87" s="36"/>
      <c r="K87" s="282"/>
      <c r="L87" s="35"/>
      <c r="M87" s="37"/>
      <c r="N87" s="38"/>
    </row>
    <row r="88" spans="1:14" ht="11.15" customHeight="1" x14ac:dyDescent="0.35">
      <c r="B88" s="607"/>
      <c r="E88" s="22"/>
      <c r="G88" s="16"/>
    </row>
    <row r="89" spans="1:14" ht="15" customHeight="1" x14ac:dyDescent="0.35">
      <c r="B89" s="607"/>
      <c r="D89" s="24"/>
      <c r="E89" s="53" t="str">
        <f>'Measure Data'!B155</f>
        <v>Commerical Laundry</v>
      </c>
      <c r="F89" s="25"/>
      <c r="G89" s="25"/>
      <c r="H89" s="25"/>
      <c r="I89" s="287"/>
      <c r="J89" s="25"/>
      <c r="K89" s="281"/>
      <c r="L89" s="25"/>
      <c r="M89" s="25"/>
      <c r="N89" s="26"/>
    </row>
    <row r="90" spans="1:14" s="11" customFormat="1" ht="5.5" customHeight="1" thickBot="1" x14ac:dyDescent="0.4">
      <c r="B90" s="607"/>
      <c r="D90" s="27"/>
      <c r="E90" s="28"/>
      <c r="F90" s="29"/>
      <c r="G90" s="23"/>
      <c r="H90" s="29"/>
      <c r="I90" s="235"/>
      <c r="J90" s="29"/>
      <c r="K90" s="210"/>
      <c r="L90" s="29"/>
      <c r="M90" s="29"/>
      <c r="N90" s="30"/>
    </row>
    <row r="91" spans="1:14" ht="13.5" customHeight="1" thickBot="1" x14ac:dyDescent="0.4">
      <c r="B91" s="607"/>
      <c r="D91" s="31"/>
      <c r="E91" s="21" t="str">
        <f>IF(OR(M91&gt;0,M91&lt;0),"X","")</f>
        <v/>
      </c>
      <c r="F91" s="16"/>
      <c r="G91" s="16" t="str">
        <f>'Measure Data'!B158</f>
        <v>BPM4</v>
      </c>
      <c r="H91" s="16" t="str">
        <f>'Measure Data'!C158</f>
        <v>Ozone laundry system</v>
      </c>
      <c r="I91" s="258" t="str">
        <f>IFERROR(IF(isPublic,'Measure Data'!I158,'Measure Data'!J158),"SEE NOTE")</f>
        <v>SEE NOTE</v>
      </c>
      <c r="J91" s="17" t="s">
        <v>67</v>
      </c>
      <c r="K91" s="275" t="str">
        <f>'Measure Data'!K158</f>
        <v>lb capacity</v>
      </c>
      <c r="L91" s="16"/>
      <c r="M91" s="19">
        <f>IFERROR(SUMIF(Hospitality!G:G,SUMMARY!G91,Hospitality!I:I),0)</f>
        <v>0</v>
      </c>
      <c r="N91" s="32"/>
    </row>
    <row r="92" spans="1:14" ht="13.5" customHeight="1" thickBot="1" x14ac:dyDescent="0.4">
      <c r="B92" s="607"/>
      <c r="D92" s="31"/>
      <c r="E92" s="21" t="str">
        <f>IF(OR(M92&gt;0,M92&lt;0),"X","")</f>
        <v/>
      </c>
      <c r="F92" s="16"/>
      <c r="G92" s="432" t="str">
        <f>'Measure Data'!B163</f>
        <v>BPM12</v>
      </c>
      <c r="H92" s="432" t="str">
        <f>'Measure Data'!C163</f>
        <v>Commercial Clothes Dryer Moisture Sensor</v>
      </c>
      <c r="I92" s="433" t="str">
        <f>IFERROR(IF(isPublic,'Measure Data'!I163,'Measure Data'!J163),"SEE NOTE")</f>
        <v>SEE NOTE</v>
      </c>
      <c r="J92" s="434" t="s">
        <v>67</v>
      </c>
      <c r="K92" s="435" t="str">
        <f>'Measure Data'!K163</f>
        <v>sensor</v>
      </c>
      <c r="L92" s="16"/>
      <c r="M92" s="19">
        <f>IFERROR(SUMIF(Hospitality!G:G,SUMMARY!G92,Hospitality!I:I),0)</f>
        <v>0</v>
      </c>
      <c r="N92" s="32"/>
    </row>
    <row r="93" spans="1:14" ht="5.5" customHeight="1" x14ac:dyDescent="0.35">
      <c r="B93" s="607"/>
      <c r="D93" s="33"/>
      <c r="E93" s="34"/>
      <c r="F93" s="35"/>
      <c r="G93" s="35"/>
      <c r="H93" s="35"/>
      <c r="I93" s="288"/>
      <c r="J93" s="36"/>
      <c r="K93" s="282"/>
      <c r="L93" s="35"/>
      <c r="M93" s="37"/>
      <c r="N93" s="38"/>
    </row>
    <row r="94" spans="1:14" ht="11.15" customHeight="1" x14ac:dyDescent="0.35">
      <c r="B94" s="607"/>
      <c r="E94" s="22"/>
      <c r="G94" s="16"/>
    </row>
    <row r="95" spans="1:14" ht="15" customHeight="1" x14ac:dyDescent="0.35">
      <c r="B95" s="607"/>
      <c r="D95" s="24"/>
      <c r="E95" s="270" t="str">
        <f>'Measure Data'!B170</f>
        <v>Commercial Pool Equipment</v>
      </c>
      <c r="F95" s="25"/>
      <c r="G95" s="25"/>
      <c r="H95" s="25"/>
      <c r="I95" s="287"/>
      <c r="J95" s="25"/>
      <c r="K95" s="281"/>
      <c r="L95" s="25"/>
      <c r="M95" s="25"/>
      <c r="N95" s="26"/>
    </row>
    <row r="96" spans="1:14" s="11" customFormat="1" ht="5.5" customHeight="1" thickBot="1" x14ac:dyDescent="0.4">
      <c r="B96" s="607"/>
      <c r="D96" s="27"/>
      <c r="E96" s="28"/>
      <c r="F96" s="29"/>
      <c r="G96" s="23"/>
      <c r="H96" s="29"/>
      <c r="I96" s="235"/>
      <c r="J96" s="29"/>
      <c r="K96" s="210"/>
      <c r="L96" s="29"/>
      <c r="M96" s="29"/>
      <c r="N96" s="30"/>
    </row>
    <row r="97" spans="2:14" ht="13.5" customHeight="1" thickBot="1" x14ac:dyDescent="0.4">
      <c r="B97" s="607"/>
      <c r="D97" s="31"/>
      <c r="E97" s="21" t="str">
        <f>IF(OR(M97&gt;0,M97&lt;0),"X","")</f>
        <v/>
      </c>
      <c r="F97" s="16"/>
      <c r="G97" s="16" t="str">
        <f>'Measure Data'!B173</f>
        <v>BPM5</v>
      </c>
      <c r="H97" s="16" t="str">
        <f>'Measure Data'!C173</f>
        <v>Insulated pool cover</v>
      </c>
      <c r="I97" s="285" t="str">
        <f>IFERROR(IF(isPublic,'Measure Data'!I173,'Measure Data'!J173),"SEE NOTE")</f>
        <v>SEE NOTE</v>
      </c>
      <c r="J97" s="17" t="s">
        <v>67</v>
      </c>
      <c r="K97" s="275" t="str">
        <f>'Measure Data'!K173</f>
        <v>square foot</v>
      </c>
      <c r="L97" s="16"/>
      <c r="M97" s="19">
        <f>IFERROR(SUMIF(Hospitality!G:G,SUMMARY!G97,Hospitality!I:I),0)</f>
        <v>0</v>
      </c>
      <c r="N97" s="32"/>
    </row>
    <row r="98" spans="2:14" ht="13.5" customHeight="1" thickBot="1" x14ac:dyDescent="0.4">
      <c r="B98" s="607"/>
      <c r="D98" s="31"/>
      <c r="E98" s="21" t="str">
        <f>IF(OR(M98&gt;0,M98&lt;0),"X","")</f>
        <v/>
      </c>
      <c r="F98" s="16"/>
      <c r="G98" s="16" t="str">
        <f>'Measure Data'!B177</f>
        <v>BPM11</v>
      </c>
      <c r="H98" s="16" t="str">
        <f>'Measure Data'!C177</f>
        <v>Variable Frequency Drive (VFD) on pool pump</v>
      </c>
      <c r="I98" s="258" t="str">
        <f>IFERROR(IF(isPublic,'Measure Data'!I177,'Measure Data'!J177),"SEE NOTE")</f>
        <v>SEE NOTE</v>
      </c>
      <c r="J98" s="17" t="s">
        <v>67</v>
      </c>
      <c r="K98" s="275" t="str">
        <f>'Measure Data'!K177</f>
        <v>pump</v>
      </c>
      <c r="L98" s="16"/>
      <c r="M98" s="19">
        <f>IFERROR(SUMIF(Hospitality!G:G,SUMMARY!G98,Hospitality!I:I),0)</f>
        <v>0</v>
      </c>
      <c r="N98" s="32"/>
    </row>
    <row r="99" spans="2:14" ht="5.5" customHeight="1" x14ac:dyDescent="0.35">
      <c r="B99" s="607"/>
      <c r="D99" s="33"/>
      <c r="E99" s="34"/>
      <c r="F99" s="35"/>
      <c r="G99" s="35"/>
      <c r="H99" s="35"/>
      <c r="I99" s="288"/>
      <c r="J99" s="36"/>
      <c r="K99" s="282"/>
      <c r="L99" s="35"/>
      <c r="M99" s="37"/>
      <c r="N99" s="38"/>
    </row>
    <row r="100" spans="2:14" ht="13" customHeight="1" x14ac:dyDescent="0.35">
      <c r="E100" s="22"/>
      <c r="G100" s="203"/>
    </row>
    <row r="101" spans="2:14" ht="15" customHeight="1" x14ac:dyDescent="0.35">
      <c r="B101" s="608" t="s">
        <v>1093</v>
      </c>
      <c r="D101" s="24"/>
      <c r="E101" s="270" t="str">
        <f>'Measure Data'!B190</f>
        <v>Evaporator Fan EC Motor Controls</v>
      </c>
      <c r="F101" s="25"/>
      <c r="G101" s="25"/>
      <c r="H101" s="25"/>
      <c r="I101" s="287"/>
      <c r="J101" s="25"/>
      <c r="K101" s="281"/>
      <c r="L101" s="25"/>
      <c r="M101" s="25"/>
      <c r="N101" s="26"/>
    </row>
    <row r="102" spans="2:14" s="11" customFormat="1" ht="5.5" customHeight="1" thickBot="1" x14ac:dyDescent="0.4">
      <c r="B102" s="608"/>
      <c r="D102" s="27"/>
      <c r="E102" s="28"/>
      <c r="F102" s="29"/>
      <c r="G102" s="23"/>
      <c r="H102" s="29"/>
      <c r="I102" s="235"/>
      <c r="J102" s="29"/>
      <c r="K102" s="210"/>
      <c r="L102" s="29"/>
      <c r="M102" s="29"/>
      <c r="N102" s="30"/>
    </row>
    <row r="103" spans="2:14" ht="13.5" customHeight="1" thickBot="1" x14ac:dyDescent="0.4">
      <c r="B103" s="608"/>
      <c r="D103" s="31"/>
      <c r="E103" s="21" t="str">
        <f>IF(OR(M103&gt;0,M103&lt;0),"X","")</f>
        <v/>
      </c>
      <c r="F103" s="16"/>
      <c r="G103" s="16" t="str">
        <f>'Measure Data'!B192</f>
        <v>BPR37</v>
      </c>
      <c r="H103" s="16" t="str">
        <f>'Measure Data'!C192</f>
        <v>ECM for evaporator fan</v>
      </c>
      <c r="I103" s="258" t="str">
        <f>IFERROR(IF(isPublic,'Measure Data'!I192,'Measure Data'!J192),"SEE NOTE")</f>
        <v>SEE NOTE</v>
      </c>
      <c r="J103" s="17" t="s">
        <v>67</v>
      </c>
      <c r="K103" s="275" t="str">
        <f>'Measure Data'!K192</f>
        <v>control</v>
      </c>
      <c r="L103" s="16"/>
      <c r="M103" s="19">
        <f>IFERROR(SUMIF(Refrigeration!G:G,SUMMARY!G103,Refrigeration!I:I),0)</f>
        <v>0</v>
      </c>
      <c r="N103" s="32"/>
    </row>
    <row r="104" spans="2:14" ht="5.5" customHeight="1" x14ac:dyDescent="0.35">
      <c r="B104" s="608"/>
      <c r="D104" s="33"/>
      <c r="E104" s="34"/>
      <c r="F104" s="35"/>
      <c r="G104" s="35"/>
      <c r="H104" s="35"/>
      <c r="I104" s="288"/>
      <c r="J104" s="36"/>
      <c r="K104" s="282"/>
      <c r="L104" s="35"/>
      <c r="M104" s="37"/>
      <c r="N104" s="38"/>
    </row>
    <row r="105" spans="2:14" ht="11.15" customHeight="1" x14ac:dyDescent="0.35">
      <c r="B105" s="608"/>
      <c r="E105" s="22"/>
      <c r="G105" s="16"/>
    </row>
    <row r="106" spans="2:14" ht="15" customHeight="1" x14ac:dyDescent="0.35">
      <c r="B106" s="608"/>
      <c r="D106" s="24"/>
      <c r="E106" s="270" t="str">
        <f>'Measure Data'!B198</f>
        <v>Q-Sync Motors</v>
      </c>
      <c r="F106" s="25"/>
      <c r="G106" s="25"/>
      <c r="H106" s="25"/>
      <c r="I106" s="287"/>
      <c r="J106" s="25"/>
      <c r="K106" s="281"/>
      <c r="L106" s="25"/>
      <c r="M106" s="25"/>
      <c r="N106" s="26"/>
    </row>
    <row r="107" spans="2:14" s="11" customFormat="1" ht="5.5" customHeight="1" thickBot="1" x14ac:dyDescent="0.4">
      <c r="B107" s="608"/>
      <c r="D107" s="27"/>
      <c r="E107" s="28"/>
      <c r="F107" s="29"/>
      <c r="G107" s="23"/>
      <c r="H107" s="29"/>
      <c r="I107" s="235"/>
      <c r="J107" s="29"/>
      <c r="K107" s="210"/>
      <c r="L107" s="29"/>
      <c r="M107" s="29"/>
      <c r="N107" s="30"/>
    </row>
    <row r="108" spans="2:14" ht="13.5" customHeight="1" thickBot="1" x14ac:dyDescent="0.4">
      <c r="B108" s="608"/>
      <c r="D108" s="31"/>
      <c r="E108" s="21" t="str">
        <f>IF(OR(M108&gt;0,M108&lt;0),"X","")</f>
        <v/>
      </c>
      <c r="F108" s="16"/>
      <c r="G108" s="16" t="str">
        <f>'Measure Data'!B200</f>
        <v>BPR39</v>
      </c>
      <c r="H108" s="16" t="str">
        <f>'Measure Data'!C200</f>
        <v>Q-Sync Motors for Reach-In Coolers and Freezers</v>
      </c>
      <c r="I108" s="258" t="str">
        <f>IFERROR(IF(isPublic,'Measure Data'!I200,'Measure Data'!J200),"SEE NOTE")</f>
        <v>SEE NOTE</v>
      </c>
      <c r="J108" s="17" t="s">
        <v>67</v>
      </c>
      <c r="K108" s="275" t="str">
        <f>'Measure Data'!K200</f>
        <v>motor</v>
      </c>
      <c r="L108" s="16"/>
      <c r="M108" s="19">
        <f>IFERROR(SUMIF(Refrigeration!G:G,SUMMARY!G108,Refrigeration!I:I),0)</f>
        <v>0</v>
      </c>
      <c r="N108" s="32"/>
    </row>
    <row r="109" spans="2:14" ht="5.5" customHeight="1" x14ac:dyDescent="0.35">
      <c r="B109" s="608"/>
      <c r="D109" s="33"/>
      <c r="E109" s="34"/>
      <c r="F109" s="35"/>
      <c r="G109" s="35"/>
      <c r="H109" s="35"/>
      <c r="I109" s="288"/>
      <c r="J109" s="36"/>
      <c r="K109" s="282"/>
      <c r="L109" s="35"/>
      <c r="M109" s="37"/>
      <c r="N109" s="38"/>
    </row>
    <row r="110" spans="2:14" ht="13" customHeight="1" x14ac:dyDescent="0.35">
      <c r="E110" s="22"/>
      <c r="G110" s="203"/>
    </row>
    <row r="111" spans="2:14" ht="15" customHeight="1" x14ac:dyDescent="0.35">
      <c r="B111" s="606" t="s">
        <v>854</v>
      </c>
      <c r="D111" s="24"/>
      <c r="E111" s="270" t="str">
        <f>'Measure Data'!B200</f>
        <v>BPR39</v>
      </c>
      <c r="F111" s="25"/>
      <c r="G111" s="25"/>
      <c r="H111" s="25"/>
      <c r="I111" s="287"/>
      <c r="J111" s="25"/>
      <c r="K111" s="281"/>
      <c r="L111" s="25"/>
      <c r="M111" s="25"/>
      <c r="N111" s="26"/>
    </row>
    <row r="112" spans="2:14" s="11" customFormat="1" ht="6.65" customHeight="1" thickBot="1" x14ac:dyDescent="0.4">
      <c r="B112" s="606"/>
      <c r="D112" s="27"/>
      <c r="E112" s="28"/>
      <c r="F112" s="29"/>
      <c r="G112" s="23"/>
      <c r="H112" s="29"/>
      <c r="I112" s="235"/>
      <c r="J112" s="29"/>
      <c r="K112" s="210"/>
      <c r="L112" s="29"/>
      <c r="M112" s="29"/>
      <c r="N112" s="30"/>
    </row>
    <row r="113" spans="2:14" ht="13.5" customHeight="1" thickBot="1" x14ac:dyDescent="0.4">
      <c r="B113" s="606"/>
      <c r="D113" s="31"/>
      <c r="E113" s="21" t="str">
        <f>IF(OR(M113&gt;0,M113&lt;0),"X","")</f>
        <v/>
      </c>
      <c r="F113" s="16"/>
      <c r="G113" s="16" t="str">
        <f>'Measure Data'!B207</f>
        <v>BPBC1</v>
      </c>
      <c r="H113" s="16" t="str">
        <f>'Measure Data'!C207</f>
        <v>High Frequency Battery Chargers</v>
      </c>
      <c r="I113" s="258" t="str">
        <f>IFERROR(IF(isPublic,'Measure Data'!I207,'Measure Data'!J207),"SEE NOTE")</f>
        <v>SEE NOTE</v>
      </c>
      <c r="J113" s="17" t="s">
        <v>67</v>
      </c>
      <c r="K113" s="275" t="str">
        <f>'Measure Data'!K207</f>
        <v>unit</v>
      </c>
      <c r="L113" s="16"/>
      <c r="M113" s="19">
        <f>IFERROR(SUMIF(Industrial!G:G,SUMMARY!G113,Industrial!I:I),0)</f>
        <v>0</v>
      </c>
      <c r="N113" s="32"/>
    </row>
    <row r="114" spans="2:14" ht="17.5" customHeight="1" x14ac:dyDescent="0.35">
      <c r="B114" s="606"/>
      <c r="D114" s="33"/>
      <c r="E114" s="34"/>
      <c r="F114" s="35"/>
      <c r="G114" s="35"/>
      <c r="H114" s="35"/>
      <c r="I114" s="288"/>
      <c r="J114" s="36"/>
      <c r="K114" s="282"/>
      <c r="L114" s="35"/>
      <c r="M114" s="37"/>
      <c r="N114" s="38"/>
    </row>
    <row r="115" spans="2:14" ht="8" customHeight="1" x14ac:dyDescent="0.35">
      <c r="E115" s="22"/>
      <c r="G115" s="16"/>
    </row>
    <row r="116" spans="2:14" x14ac:dyDescent="0.35">
      <c r="E116" s="507" t="str">
        <f>"* Custom electric incentive rate for the portion of savings above "&amp;TEXT('Measure Data'!E72, "0,000")&amp;" kWh is "&amp;TEXT('Measure Data'!F72,"$0.00")&amp;"/kWh"</f>
        <v>* Custom electric incentive rate for the portion of savings above 3,125,000 kWh is $0.06/kWh</v>
      </c>
      <c r="G116" s="16"/>
    </row>
    <row r="117" spans="2:14" x14ac:dyDescent="0.35">
      <c r="E117" s="507" t="str">
        <f>"   Custom gas incentive rate for the portion of savings above "&amp;TEXT('Measure Data'!E73, "0,000")&amp;" therms is "&amp;TEXT('Measure Data'!F73, "$0.00")&amp;"/therm"</f>
        <v xml:space="preserve">   Custom gas incentive rate for the portion of savings above 100,000 therms is $0.50/therm</v>
      </c>
      <c r="G117" s="16"/>
    </row>
    <row r="118" spans="2:14" ht="21" customHeight="1" x14ac:dyDescent="0.35">
      <c r="E118" s="22"/>
      <c r="G118" s="16"/>
    </row>
    <row r="119" spans="2:14" ht="21" customHeight="1" x14ac:dyDescent="0.35">
      <c r="E119" s="22"/>
      <c r="G119" s="16"/>
    </row>
    <row r="120" spans="2:14" ht="21" customHeight="1" x14ac:dyDescent="0.35">
      <c r="E120" s="22"/>
      <c r="G120" s="16"/>
    </row>
    <row r="121" spans="2:14" ht="21" customHeight="1" x14ac:dyDescent="0.35">
      <c r="E121" s="22"/>
      <c r="G121" s="16"/>
    </row>
    <row r="122" spans="2:14" ht="21" customHeight="1" x14ac:dyDescent="0.35">
      <c r="E122" s="22"/>
      <c r="G122" s="16"/>
    </row>
    <row r="123" spans="2:14" ht="21" customHeight="1" x14ac:dyDescent="0.35">
      <c r="E123" s="22"/>
      <c r="G123" s="16"/>
    </row>
    <row r="124" spans="2:14" ht="21" customHeight="1" x14ac:dyDescent="0.35">
      <c r="E124" s="22"/>
      <c r="G124" s="16"/>
      <c r="I124"/>
      <c r="K124"/>
    </row>
    <row r="125" spans="2:14" ht="21" customHeight="1" x14ac:dyDescent="0.35">
      <c r="E125" s="22"/>
      <c r="G125" s="16"/>
      <c r="I125"/>
      <c r="K125"/>
    </row>
    <row r="126" spans="2:14" ht="21" customHeight="1" x14ac:dyDescent="0.35">
      <c r="E126" s="22"/>
      <c r="G126" s="16"/>
      <c r="I126"/>
      <c r="K126"/>
    </row>
    <row r="127" spans="2:14" ht="21" customHeight="1" x14ac:dyDescent="0.35">
      <c r="E127" s="22"/>
      <c r="G127" s="16"/>
      <c r="I127"/>
      <c r="K127"/>
    </row>
  </sheetData>
  <sheetProtection algorithmName="SHA-512" hashValue="weFjnoCjCwN4s3w2kk2lzT2tzYI26E2ciMn50FbPxvYpWe8ikj2/8NrmY8ln1Kg/0H3pDHJUyZUf5+hARd7PsQ==" saltValue="LWYjmN6kYHkoqOPVsG6X5Q==" spinCount="100000" sheet="1" selectLockedCells="1"/>
  <mergeCells count="11">
    <mergeCell ref="B111:B114"/>
    <mergeCell ref="B79:B99"/>
    <mergeCell ref="B101:B109"/>
    <mergeCell ref="B2:N2"/>
    <mergeCell ref="B72:B77"/>
    <mergeCell ref="B6:B15"/>
    <mergeCell ref="B46:B55"/>
    <mergeCell ref="E4:K4"/>
    <mergeCell ref="B17:B44"/>
    <mergeCell ref="B57:B70"/>
    <mergeCell ref="H9:I9"/>
  </mergeCells>
  <conditionalFormatting sqref="I39:I43">
    <cfRule type="expression" dxfId="101" priority="46">
      <formula>I39="SEE NOTE"</formula>
    </cfRule>
  </conditionalFormatting>
  <conditionalFormatting sqref="I74:I76">
    <cfRule type="expression" dxfId="100" priority="45">
      <formula>I74="SEE NOTE"</formula>
    </cfRule>
  </conditionalFormatting>
  <conditionalFormatting sqref="I81">
    <cfRule type="expression" dxfId="99" priority="34">
      <formula>I81="SEE NOTE"</formula>
    </cfRule>
  </conditionalFormatting>
  <conditionalFormatting sqref="I86">
    <cfRule type="expression" dxfId="98" priority="33">
      <formula>I86="SEE NOTE"</formula>
    </cfRule>
  </conditionalFormatting>
  <conditionalFormatting sqref="I91:I92">
    <cfRule type="expression" dxfId="97" priority="32">
      <formula>I91="SEE NOTE"</formula>
    </cfRule>
  </conditionalFormatting>
  <conditionalFormatting sqref="I97:I98">
    <cfRule type="expression" dxfId="96" priority="29">
      <formula>I97="SEE NOTE"</formula>
    </cfRule>
  </conditionalFormatting>
  <conditionalFormatting sqref="I103">
    <cfRule type="expression" dxfId="95" priority="19">
      <formula>I103="SEE NOTE"</formula>
    </cfRule>
  </conditionalFormatting>
  <conditionalFormatting sqref="I108">
    <cfRule type="expression" dxfId="94" priority="18">
      <formula>I108="SEE NOTE"</formula>
    </cfRule>
  </conditionalFormatting>
  <conditionalFormatting sqref="I113">
    <cfRule type="expression" dxfId="93" priority="17">
      <formula>I113="SEE NOTE"</formula>
    </cfRule>
  </conditionalFormatting>
  <conditionalFormatting sqref="I30">
    <cfRule type="expression" dxfId="92" priority="15">
      <formula>I30="SEE NOTE"</formula>
    </cfRule>
  </conditionalFormatting>
  <conditionalFormatting sqref="I25">
    <cfRule type="expression" dxfId="91" priority="14">
      <formula>I25="SEE NOTE"</formula>
    </cfRule>
  </conditionalFormatting>
  <conditionalFormatting sqref="I35">
    <cfRule type="expression" dxfId="90" priority="11">
      <formula>I35="SEE NOTE"</formula>
    </cfRule>
  </conditionalFormatting>
  <conditionalFormatting sqref="I19:I20">
    <cfRule type="expression" dxfId="89" priority="12">
      <formula>I19="SEE NOTE"</formula>
    </cfRule>
  </conditionalFormatting>
  <conditionalFormatting sqref="I48">
    <cfRule type="expression" dxfId="88" priority="9">
      <formula>I48="SEE NOTE"</formula>
    </cfRule>
  </conditionalFormatting>
  <conditionalFormatting sqref="I49">
    <cfRule type="expression" dxfId="87" priority="8">
      <formula>I49="SEE NOTE"</formula>
    </cfRule>
  </conditionalFormatting>
  <conditionalFormatting sqref="I54">
    <cfRule type="expression" dxfId="86" priority="7">
      <formula>I54="SEE NOTE"</formula>
    </cfRule>
  </conditionalFormatting>
  <conditionalFormatting sqref="I59">
    <cfRule type="expression" dxfId="85" priority="6">
      <formula>I59="SEE NOTE"</formula>
    </cfRule>
  </conditionalFormatting>
  <conditionalFormatting sqref="I64">
    <cfRule type="expression" dxfId="84" priority="5">
      <formula>I64="SEE NOTE"</formula>
    </cfRule>
  </conditionalFormatting>
  <conditionalFormatting sqref="I69">
    <cfRule type="expression" dxfId="83" priority="4">
      <formula>I69="SEE NOTE"</formula>
    </cfRule>
  </conditionalFormatting>
  <pageMargins left="0.25" right="0.25" top="0.75" bottom="0.75" header="0.3" footer="0.3"/>
  <pageSetup fitToHeight="3"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Q213"/>
  <sheetViews>
    <sheetView showGridLines="0" showRowColHeaders="0" zoomScale="90" zoomScaleNormal="90" workbookViewId="0">
      <selection activeCell="C14" sqref="C14"/>
    </sheetView>
  </sheetViews>
  <sheetFormatPr defaultRowHeight="14.5" x14ac:dyDescent="0.35"/>
  <cols>
    <col min="1" max="1" width="7" customWidth="1"/>
    <col min="2" max="2" width="13.81640625" customWidth="1"/>
    <col min="3" max="3" width="23.54296875" style="86" customWidth="1"/>
    <col min="4" max="4" width="21.54296875" customWidth="1"/>
    <col min="5" max="5" width="37.453125" customWidth="1"/>
    <col min="6" max="6" width="13.453125" style="3" customWidth="1"/>
    <col min="7" max="7" width="2" customWidth="1"/>
    <col min="8" max="13" width="16.7265625" style="86" customWidth="1"/>
    <col min="14" max="14" width="4.81640625" style="141" customWidth="1"/>
    <col min="15" max="15" width="24" hidden="1" customWidth="1"/>
  </cols>
  <sheetData>
    <row r="1" spans="1:17" x14ac:dyDescent="0.35">
      <c r="A1" s="357"/>
    </row>
    <row r="2" spans="1:17" ht="29.5" customHeight="1" x14ac:dyDescent="0.35">
      <c r="B2" s="615" t="s">
        <v>649</v>
      </c>
      <c r="C2" s="615"/>
      <c r="D2" s="615"/>
      <c r="E2" s="615"/>
      <c r="F2" s="615"/>
      <c r="G2" s="139"/>
      <c r="H2" s="624" t="s">
        <v>1099</v>
      </c>
      <c r="I2" s="625"/>
      <c r="J2" s="625"/>
      <c r="K2" s="625"/>
      <c r="L2" s="625"/>
      <c r="M2" s="626"/>
      <c r="N2" s="140"/>
      <c r="O2" s="139"/>
      <c r="P2" s="139"/>
      <c r="Q2" s="139"/>
    </row>
    <row r="3" spans="1:17" ht="33" customHeight="1" x14ac:dyDescent="0.35">
      <c r="B3" s="616" t="s">
        <v>1089</v>
      </c>
      <c r="C3" s="617"/>
      <c r="D3" s="617"/>
      <c r="E3" s="617"/>
      <c r="F3" s="618"/>
      <c r="H3" s="627"/>
      <c r="I3" s="628"/>
      <c r="J3" s="628"/>
      <c r="K3" s="628"/>
      <c r="L3" s="628"/>
      <c r="M3" s="629"/>
      <c r="N3" s="140"/>
    </row>
    <row r="4" spans="1:17" ht="25" customHeight="1" x14ac:dyDescent="0.35">
      <c r="B4" s="619"/>
      <c r="C4" s="535"/>
      <c r="D4" s="535"/>
      <c r="E4" s="535"/>
      <c r="F4" s="620"/>
      <c r="H4" s="627"/>
      <c r="I4" s="628"/>
      <c r="J4" s="628"/>
      <c r="K4" s="628"/>
      <c r="L4" s="628"/>
      <c r="M4" s="629"/>
      <c r="N4" s="140"/>
    </row>
    <row r="5" spans="1:17" ht="25" customHeight="1" x14ac:dyDescent="0.35">
      <c r="B5" s="619"/>
      <c r="C5" s="535"/>
      <c r="D5" s="535"/>
      <c r="E5" s="535"/>
      <c r="F5" s="620"/>
      <c r="H5" s="627"/>
      <c r="I5" s="628"/>
      <c r="J5" s="628"/>
      <c r="K5" s="628"/>
      <c r="L5" s="628"/>
      <c r="M5" s="629"/>
      <c r="N5" s="140"/>
    </row>
    <row r="6" spans="1:17" ht="25" customHeight="1" x14ac:dyDescent="0.35">
      <c r="B6" s="619"/>
      <c r="C6" s="535"/>
      <c r="D6" s="535"/>
      <c r="E6" s="535"/>
      <c r="F6" s="620"/>
      <c r="H6" s="627"/>
      <c r="I6" s="628"/>
      <c r="J6" s="628"/>
      <c r="K6" s="628"/>
      <c r="L6" s="628"/>
      <c r="M6" s="629"/>
      <c r="N6" s="140"/>
    </row>
    <row r="7" spans="1:17" ht="25" customHeight="1" x14ac:dyDescent="0.35">
      <c r="B7" s="619"/>
      <c r="C7" s="535"/>
      <c r="D7" s="535"/>
      <c r="E7" s="535"/>
      <c r="F7" s="620"/>
      <c r="H7" s="627"/>
      <c r="I7" s="628"/>
      <c r="J7" s="628"/>
      <c r="K7" s="628"/>
      <c r="L7" s="628"/>
      <c r="M7" s="629"/>
      <c r="N7" s="140"/>
    </row>
    <row r="8" spans="1:17" ht="25" customHeight="1" x14ac:dyDescent="0.35">
      <c r="B8" s="619"/>
      <c r="C8" s="535"/>
      <c r="D8" s="535"/>
      <c r="E8" s="535"/>
      <c r="F8" s="620"/>
      <c r="H8" s="627"/>
      <c r="I8" s="628"/>
      <c r="J8" s="628"/>
      <c r="K8" s="628"/>
      <c r="L8" s="628"/>
      <c r="M8" s="629"/>
      <c r="N8" s="140"/>
    </row>
    <row r="9" spans="1:17" ht="25" customHeight="1" x14ac:dyDescent="0.35">
      <c r="B9" s="619"/>
      <c r="C9" s="535"/>
      <c r="D9" s="535"/>
      <c r="E9" s="535"/>
      <c r="F9" s="620"/>
      <c r="H9" s="627"/>
      <c r="I9" s="628"/>
      <c r="J9" s="628"/>
      <c r="K9" s="628"/>
      <c r="L9" s="628"/>
      <c r="M9" s="629"/>
      <c r="N9" s="140"/>
    </row>
    <row r="10" spans="1:17" ht="29.15" customHeight="1" x14ac:dyDescent="0.35">
      <c r="B10" s="621"/>
      <c r="C10" s="622"/>
      <c r="D10" s="622"/>
      <c r="E10" s="622"/>
      <c r="F10" s="623"/>
      <c r="H10" s="627"/>
      <c r="I10" s="628"/>
      <c r="J10" s="628"/>
      <c r="K10" s="628"/>
      <c r="L10" s="628"/>
      <c r="M10" s="629"/>
      <c r="N10" s="140"/>
    </row>
    <row r="11" spans="1:17" ht="18.5" x14ac:dyDescent="0.35">
      <c r="H11" s="627"/>
      <c r="I11" s="628"/>
      <c r="J11" s="628"/>
      <c r="K11" s="628"/>
      <c r="L11" s="628"/>
      <c r="M11" s="629"/>
      <c r="N11" s="140"/>
    </row>
    <row r="12" spans="1:17" s="83" customFormat="1" ht="18.5" x14ac:dyDescent="0.35">
      <c r="B12" s="83" t="s">
        <v>454</v>
      </c>
      <c r="C12" s="84" t="s">
        <v>434</v>
      </c>
      <c r="D12" s="83" t="s">
        <v>231</v>
      </c>
      <c r="E12" s="83" t="s">
        <v>232</v>
      </c>
      <c r="F12" s="83" t="s">
        <v>233</v>
      </c>
      <c r="H12" s="627"/>
      <c r="I12" s="628"/>
      <c r="J12" s="628"/>
      <c r="K12" s="628"/>
      <c r="L12" s="628"/>
      <c r="M12" s="629"/>
      <c r="N12" s="140"/>
      <c r="O12" s="83" t="s">
        <v>446</v>
      </c>
    </row>
    <row r="13" spans="1:17" ht="18.5" x14ac:dyDescent="0.35">
      <c r="B13" s="82" t="s">
        <v>453</v>
      </c>
      <c r="C13" s="85" t="s">
        <v>437</v>
      </c>
      <c r="D13" s="81" t="s">
        <v>433</v>
      </c>
      <c r="E13" s="81" t="s">
        <v>581</v>
      </c>
      <c r="F13" s="82">
        <v>174.5</v>
      </c>
      <c r="H13" s="627"/>
      <c r="I13" s="628"/>
      <c r="J13" s="628"/>
      <c r="K13" s="628"/>
      <c r="L13" s="628"/>
      <c r="M13" s="629"/>
      <c r="N13" s="140"/>
      <c r="O13" t="s">
        <v>448</v>
      </c>
    </row>
    <row r="14" spans="1:17" ht="18.5" x14ac:dyDescent="0.35">
      <c r="B14" s="80" t="s">
        <v>230</v>
      </c>
      <c r="C14" s="306" t="s">
        <v>448</v>
      </c>
      <c r="D14" s="307"/>
      <c r="E14" s="307"/>
      <c r="F14" s="308"/>
      <c r="H14" s="630"/>
      <c r="I14" s="631"/>
      <c r="J14" s="631"/>
      <c r="K14" s="631"/>
      <c r="L14" s="631"/>
      <c r="M14" s="632"/>
      <c r="N14" s="140"/>
      <c r="O14" t="s">
        <v>439</v>
      </c>
    </row>
    <row r="15" spans="1:17" ht="18.5" x14ac:dyDescent="0.35">
      <c r="B15" s="80" t="s">
        <v>234</v>
      </c>
      <c r="C15" s="306"/>
      <c r="D15" s="307"/>
      <c r="E15" s="307"/>
      <c r="F15" s="308"/>
      <c r="H15" s="401"/>
      <c r="I15" s="401"/>
      <c r="J15" s="401"/>
      <c r="K15" s="401"/>
      <c r="L15" s="401"/>
      <c r="M15" s="401"/>
      <c r="N15" s="140"/>
      <c r="O15" t="s">
        <v>443</v>
      </c>
    </row>
    <row r="16" spans="1:17" ht="18.5" x14ac:dyDescent="0.35">
      <c r="B16" s="80" t="s">
        <v>235</v>
      </c>
      <c r="C16" s="306"/>
      <c r="D16" s="307"/>
      <c r="E16" s="307"/>
      <c r="F16" s="308"/>
      <c r="H16" s="400"/>
      <c r="I16" s="400"/>
      <c r="J16" s="400"/>
      <c r="K16" s="400"/>
      <c r="L16" s="400"/>
      <c r="M16" s="400"/>
      <c r="N16" s="140"/>
      <c r="O16" t="s">
        <v>436</v>
      </c>
    </row>
    <row r="17" spans="2:15" ht="18.5" x14ac:dyDescent="0.35">
      <c r="B17" s="80" t="s">
        <v>236</v>
      </c>
      <c r="C17" s="306"/>
      <c r="D17" s="307"/>
      <c r="E17" s="307"/>
      <c r="F17" s="308"/>
      <c r="H17" s="400"/>
      <c r="I17" s="400"/>
      <c r="J17" s="400"/>
      <c r="K17" s="400"/>
      <c r="L17" s="400"/>
      <c r="M17" s="400"/>
      <c r="N17" s="140"/>
      <c r="O17" t="s">
        <v>435</v>
      </c>
    </row>
    <row r="18" spans="2:15" ht="18.5" x14ac:dyDescent="0.35">
      <c r="B18" s="80" t="s">
        <v>237</v>
      </c>
      <c r="C18" s="306"/>
      <c r="D18" s="307"/>
      <c r="E18" s="307"/>
      <c r="F18" s="308"/>
      <c r="H18" s="400"/>
      <c r="I18" s="400"/>
      <c r="J18" s="400"/>
      <c r="K18" s="400"/>
      <c r="L18" s="400"/>
      <c r="M18" s="400"/>
      <c r="N18" s="140"/>
      <c r="O18" t="s">
        <v>651</v>
      </c>
    </row>
    <row r="19" spans="2:15" ht="18.5" x14ac:dyDescent="0.35">
      <c r="B19" s="80" t="s">
        <v>238</v>
      </c>
      <c r="C19" s="306"/>
      <c r="D19" s="307"/>
      <c r="E19" s="307"/>
      <c r="F19" s="308"/>
      <c r="H19" s="402"/>
      <c r="I19" s="402"/>
      <c r="J19" s="402"/>
      <c r="K19" s="402"/>
      <c r="L19" s="402"/>
      <c r="M19" s="402"/>
      <c r="N19" s="140"/>
      <c r="O19" t="s">
        <v>441</v>
      </c>
    </row>
    <row r="20" spans="2:15" ht="18.5" x14ac:dyDescent="0.35">
      <c r="B20" s="80" t="s">
        <v>239</v>
      </c>
      <c r="C20" s="306"/>
      <c r="D20" s="307"/>
      <c r="E20" s="307"/>
      <c r="F20" s="308"/>
      <c r="H20" s="142"/>
      <c r="I20" s="142"/>
      <c r="J20" s="142"/>
      <c r="K20" s="142"/>
      <c r="L20" s="142"/>
      <c r="M20" s="142"/>
      <c r="N20" s="140"/>
      <c r="O20" t="s">
        <v>438</v>
      </c>
    </row>
    <row r="21" spans="2:15" ht="18.5" x14ac:dyDescent="0.35">
      <c r="B21" s="80" t="s">
        <v>240</v>
      </c>
      <c r="C21" s="306"/>
      <c r="D21" s="307"/>
      <c r="E21" s="307"/>
      <c r="F21" s="308"/>
      <c r="H21" s="142"/>
      <c r="I21" s="142"/>
      <c r="J21" s="142"/>
      <c r="K21" s="142"/>
      <c r="L21" s="142"/>
      <c r="M21" s="142"/>
      <c r="N21" s="140"/>
      <c r="O21" t="s">
        <v>444</v>
      </c>
    </row>
    <row r="22" spans="2:15" x14ac:dyDescent="0.35">
      <c r="B22" s="80" t="s">
        <v>241</v>
      </c>
      <c r="C22" s="306"/>
      <c r="D22" s="307"/>
      <c r="E22" s="307"/>
      <c r="F22" s="308"/>
      <c r="O22" t="s">
        <v>705</v>
      </c>
    </row>
    <row r="23" spans="2:15" x14ac:dyDescent="0.35">
      <c r="B23" s="80" t="s">
        <v>242</v>
      </c>
      <c r="C23" s="306"/>
      <c r="D23" s="307"/>
      <c r="E23" s="307"/>
      <c r="F23" s="308"/>
      <c r="O23" t="s">
        <v>445</v>
      </c>
    </row>
    <row r="24" spans="2:15" x14ac:dyDescent="0.35">
      <c r="B24" s="80" t="s">
        <v>243</v>
      </c>
      <c r="C24" s="306"/>
      <c r="D24" s="307"/>
      <c r="E24" s="307"/>
      <c r="F24" s="308"/>
      <c r="O24" t="s">
        <v>447</v>
      </c>
    </row>
    <row r="25" spans="2:15" x14ac:dyDescent="0.35">
      <c r="B25" s="80" t="s">
        <v>244</v>
      </c>
      <c r="C25" s="306"/>
      <c r="D25" s="307"/>
      <c r="E25" s="307"/>
      <c r="F25" s="308"/>
      <c r="O25" t="s">
        <v>440</v>
      </c>
    </row>
    <row r="26" spans="2:15" x14ac:dyDescent="0.35">
      <c r="B26" s="80" t="s">
        <v>245</v>
      </c>
      <c r="C26" s="306"/>
      <c r="D26" s="307"/>
      <c r="E26" s="307"/>
      <c r="F26" s="308"/>
      <c r="O26" t="s">
        <v>442</v>
      </c>
    </row>
    <row r="27" spans="2:15" x14ac:dyDescent="0.35">
      <c r="B27" s="80" t="s">
        <v>246</v>
      </c>
      <c r="C27" s="306"/>
      <c r="D27" s="307"/>
      <c r="E27" s="307"/>
      <c r="F27" s="308"/>
    </row>
    <row r="28" spans="2:15" x14ac:dyDescent="0.35">
      <c r="B28" s="80" t="s">
        <v>247</v>
      </c>
      <c r="C28" s="306"/>
      <c r="D28" s="307"/>
      <c r="E28" s="307"/>
      <c r="F28" s="308"/>
    </row>
    <row r="29" spans="2:15" x14ac:dyDescent="0.35">
      <c r="B29" s="80" t="s">
        <v>248</v>
      </c>
      <c r="C29" s="306"/>
      <c r="D29" s="307"/>
      <c r="E29" s="307"/>
      <c r="F29" s="308"/>
    </row>
    <row r="30" spans="2:15" x14ac:dyDescent="0.35">
      <c r="B30" s="80" t="s">
        <v>249</v>
      </c>
      <c r="C30" s="306"/>
      <c r="D30" s="307"/>
      <c r="E30" s="307"/>
      <c r="F30" s="308"/>
    </row>
    <row r="31" spans="2:15" x14ac:dyDescent="0.35">
      <c r="B31" s="80" t="s">
        <v>250</v>
      </c>
      <c r="C31" s="306"/>
      <c r="D31" s="307"/>
      <c r="E31" s="307"/>
      <c r="F31" s="308"/>
    </row>
    <row r="32" spans="2:15" x14ac:dyDescent="0.35">
      <c r="B32" s="80" t="s">
        <v>251</v>
      </c>
      <c r="C32" s="306"/>
      <c r="D32" s="307"/>
      <c r="E32" s="307"/>
      <c r="F32" s="308"/>
    </row>
    <row r="33" spans="2:6" customFormat="1" x14ac:dyDescent="0.35">
      <c r="B33" s="80" t="s">
        <v>252</v>
      </c>
      <c r="C33" s="306"/>
      <c r="D33" s="307"/>
      <c r="E33" s="307"/>
      <c r="F33" s="308"/>
    </row>
    <row r="34" spans="2:6" customFormat="1" x14ac:dyDescent="0.35">
      <c r="B34" s="80" t="s">
        <v>253</v>
      </c>
      <c r="C34" s="306"/>
      <c r="D34" s="307"/>
      <c r="E34" s="307"/>
      <c r="F34" s="308"/>
    </row>
    <row r="35" spans="2:6" customFormat="1" x14ac:dyDescent="0.35">
      <c r="B35" s="80" t="s">
        <v>254</v>
      </c>
      <c r="C35" s="306"/>
      <c r="D35" s="307"/>
      <c r="E35" s="307"/>
      <c r="F35" s="308"/>
    </row>
    <row r="36" spans="2:6" customFormat="1" x14ac:dyDescent="0.35">
      <c r="B36" s="80" t="s">
        <v>255</v>
      </c>
      <c r="C36" s="306"/>
      <c r="D36" s="307"/>
      <c r="E36" s="307"/>
      <c r="F36" s="308"/>
    </row>
    <row r="37" spans="2:6" customFormat="1" x14ac:dyDescent="0.35">
      <c r="B37" s="80" t="s">
        <v>256</v>
      </c>
      <c r="C37" s="306"/>
      <c r="D37" s="307"/>
      <c r="E37" s="307"/>
      <c r="F37" s="308"/>
    </row>
    <row r="38" spans="2:6" customFormat="1" x14ac:dyDescent="0.35">
      <c r="B38" s="80" t="s">
        <v>257</v>
      </c>
      <c r="C38" s="306"/>
      <c r="D38" s="307"/>
      <c r="E38" s="307"/>
      <c r="F38" s="308"/>
    </row>
    <row r="39" spans="2:6" customFormat="1" x14ac:dyDescent="0.35">
      <c r="B39" s="80" t="s">
        <v>258</v>
      </c>
      <c r="C39" s="306"/>
      <c r="D39" s="307"/>
      <c r="E39" s="307"/>
      <c r="F39" s="308"/>
    </row>
    <row r="40" spans="2:6" customFormat="1" x14ac:dyDescent="0.35">
      <c r="B40" s="80" t="s">
        <v>259</v>
      </c>
      <c r="C40" s="306"/>
      <c r="D40" s="307"/>
      <c r="E40" s="307"/>
      <c r="F40" s="308"/>
    </row>
    <row r="41" spans="2:6" customFormat="1" x14ac:dyDescent="0.35">
      <c r="B41" s="80" t="s">
        <v>260</v>
      </c>
      <c r="C41" s="306"/>
      <c r="D41" s="307"/>
      <c r="E41" s="307"/>
      <c r="F41" s="308"/>
    </row>
    <row r="42" spans="2:6" customFormat="1" x14ac:dyDescent="0.35">
      <c r="B42" s="80" t="s">
        <v>261</v>
      </c>
      <c r="C42" s="306"/>
      <c r="D42" s="307"/>
      <c r="E42" s="307"/>
      <c r="F42" s="308"/>
    </row>
    <row r="43" spans="2:6" customFormat="1" x14ac:dyDescent="0.35">
      <c r="B43" s="80" t="s">
        <v>262</v>
      </c>
      <c r="C43" s="306"/>
      <c r="D43" s="307"/>
      <c r="E43" s="307"/>
      <c r="F43" s="308"/>
    </row>
    <row r="44" spans="2:6" customFormat="1" x14ac:dyDescent="0.35">
      <c r="B44" s="80" t="s">
        <v>263</v>
      </c>
      <c r="C44" s="306"/>
      <c r="D44" s="307"/>
      <c r="E44" s="307"/>
      <c r="F44" s="308"/>
    </row>
    <row r="45" spans="2:6" customFormat="1" x14ac:dyDescent="0.35">
      <c r="B45" s="80" t="s">
        <v>264</v>
      </c>
      <c r="C45" s="306"/>
      <c r="D45" s="307"/>
      <c r="E45" s="307"/>
      <c r="F45" s="308"/>
    </row>
    <row r="46" spans="2:6" customFormat="1" x14ac:dyDescent="0.35">
      <c r="B46" s="80" t="s">
        <v>265</v>
      </c>
      <c r="C46" s="306"/>
      <c r="D46" s="307"/>
      <c r="E46" s="307"/>
      <c r="F46" s="308"/>
    </row>
    <row r="47" spans="2:6" customFormat="1" x14ac:dyDescent="0.35">
      <c r="B47" s="80" t="s">
        <v>266</v>
      </c>
      <c r="C47" s="306"/>
      <c r="D47" s="307"/>
      <c r="E47" s="307"/>
      <c r="F47" s="308"/>
    </row>
    <row r="48" spans="2:6" customFormat="1" x14ac:dyDescent="0.35">
      <c r="B48" s="80" t="s">
        <v>267</v>
      </c>
      <c r="C48" s="306"/>
      <c r="D48" s="307"/>
      <c r="E48" s="307"/>
      <c r="F48" s="308"/>
    </row>
    <row r="49" spans="2:6" customFormat="1" x14ac:dyDescent="0.35">
      <c r="B49" s="80" t="s">
        <v>268</v>
      </c>
      <c r="C49" s="306"/>
      <c r="D49" s="307"/>
      <c r="E49" s="307"/>
      <c r="F49" s="308"/>
    </row>
    <row r="50" spans="2:6" customFormat="1" x14ac:dyDescent="0.35">
      <c r="B50" s="80" t="s">
        <v>269</v>
      </c>
      <c r="C50" s="306"/>
      <c r="D50" s="307"/>
      <c r="E50" s="307"/>
      <c r="F50" s="308"/>
    </row>
    <row r="51" spans="2:6" customFormat="1" x14ac:dyDescent="0.35">
      <c r="B51" s="80" t="s">
        <v>270</v>
      </c>
      <c r="C51" s="306"/>
      <c r="D51" s="307"/>
      <c r="E51" s="307"/>
      <c r="F51" s="308"/>
    </row>
    <row r="52" spans="2:6" customFormat="1" x14ac:dyDescent="0.35">
      <c r="B52" s="80" t="s">
        <v>271</v>
      </c>
      <c r="C52" s="306"/>
      <c r="D52" s="307"/>
      <c r="E52" s="307"/>
      <c r="F52" s="308"/>
    </row>
    <row r="53" spans="2:6" customFormat="1" x14ac:dyDescent="0.35">
      <c r="B53" s="80" t="s">
        <v>272</v>
      </c>
      <c r="C53" s="306"/>
      <c r="D53" s="307"/>
      <c r="E53" s="307"/>
      <c r="F53" s="308"/>
    </row>
    <row r="54" spans="2:6" customFormat="1" x14ac:dyDescent="0.35">
      <c r="B54" s="80" t="s">
        <v>273</v>
      </c>
      <c r="C54" s="306"/>
      <c r="D54" s="307"/>
      <c r="E54" s="307"/>
      <c r="F54" s="308"/>
    </row>
    <row r="55" spans="2:6" customFormat="1" x14ac:dyDescent="0.35">
      <c r="B55" s="80" t="s">
        <v>274</v>
      </c>
      <c r="C55" s="306"/>
      <c r="D55" s="307"/>
      <c r="E55" s="307"/>
      <c r="F55" s="308"/>
    </row>
    <row r="56" spans="2:6" customFormat="1" x14ac:dyDescent="0.35">
      <c r="B56" s="80" t="s">
        <v>275</v>
      </c>
      <c r="C56" s="306"/>
      <c r="D56" s="307"/>
      <c r="E56" s="307"/>
      <c r="F56" s="308"/>
    </row>
    <row r="57" spans="2:6" customFormat="1" x14ac:dyDescent="0.35">
      <c r="B57" s="80" t="s">
        <v>276</v>
      </c>
      <c r="C57" s="306"/>
      <c r="D57" s="307"/>
      <c r="E57" s="307"/>
      <c r="F57" s="308"/>
    </row>
    <row r="58" spans="2:6" customFormat="1" x14ac:dyDescent="0.35">
      <c r="B58" s="80" t="s">
        <v>277</v>
      </c>
      <c r="C58" s="306"/>
      <c r="D58" s="307"/>
      <c r="E58" s="307"/>
      <c r="F58" s="308"/>
    </row>
    <row r="59" spans="2:6" customFormat="1" x14ac:dyDescent="0.35">
      <c r="B59" s="80" t="s">
        <v>278</v>
      </c>
      <c r="C59" s="306"/>
      <c r="D59" s="307"/>
      <c r="E59" s="307"/>
      <c r="F59" s="308"/>
    </row>
    <row r="60" spans="2:6" customFormat="1" x14ac:dyDescent="0.35">
      <c r="B60" s="80" t="s">
        <v>279</v>
      </c>
      <c r="C60" s="306"/>
      <c r="D60" s="307"/>
      <c r="E60" s="307"/>
      <c r="F60" s="308"/>
    </row>
    <row r="61" spans="2:6" customFormat="1" x14ac:dyDescent="0.35">
      <c r="B61" s="80" t="s">
        <v>280</v>
      </c>
      <c r="C61" s="306"/>
      <c r="D61" s="307"/>
      <c r="E61" s="307"/>
      <c r="F61" s="308"/>
    </row>
    <row r="62" spans="2:6" customFormat="1" x14ac:dyDescent="0.35">
      <c r="B62" s="80" t="s">
        <v>281</v>
      </c>
      <c r="C62" s="306"/>
      <c r="D62" s="307"/>
      <c r="E62" s="307"/>
      <c r="F62" s="308"/>
    </row>
    <row r="63" spans="2:6" customFormat="1" x14ac:dyDescent="0.35">
      <c r="B63" s="80" t="s">
        <v>282</v>
      </c>
      <c r="C63" s="306"/>
      <c r="D63" s="307"/>
      <c r="E63" s="307"/>
      <c r="F63" s="308"/>
    </row>
    <row r="64" spans="2:6" customFormat="1" x14ac:dyDescent="0.35">
      <c r="B64" s="80" t="s">
        <v>283</v>
      </c>
      <c r="C64" s="306"/>
      <c r="D64" s="307"/>
      <c r="E64" s="307"/>
      <c r="F64" s="308"/>
    </row>
    <row r="65" spans="2:6" customFormat="1" x14ac:dyDescent="0.35">
      <c r="B65" s="80" t="s">
        <v>284</v>
      </c>
      <c r="C65" s="306"/>
      <c r="D65" s="307"/>
      <c r="E65" s="307"/>
      <c r="F65" s="308"/>
    </row>
    <row r="66" spans="2:6" customFormat="1" x14ac:dyDescent="0.35">
      <c r="B66" s="80" t="s">
        <v>285</v>
      </c>
      <c r="C66" s="306"/>
      <c r="D66" s="307"/>
      <c r="E66" s="307"/>
      <c r="F66" s="308"/>
    </row>
    <row r="67" spans="2:6" customFormat="1" x14ac:dyDescent="0.35">
      <c r="B67" s="80" t="s">
        <v>286</v>
      </c>
      <c r="C67" s="306"/>
      <c r="D67" s="307"/>
      <c r="E67" s="307"/>
      <c r="F67" s="308"/>
    </row>
    <row r="68" spans="2:6" customFormat="1" x14ac:dyDescent="0.35">
      <c r="B68" s="80" t="s">
        <v>287</v>
      </c>
      <c r="C68" s="306"/>
      <c r="D68" s="307"/>
      <c r="E68" s="307"/>
      <c r="F68" s="308"/>
    </row>
    <row r="69" spans="2:6" customFormat="1" x14ac:dyDescent="0.35">
      <c r="B69" s="80" t="s">
        <v>288</v>
      </c>
      <c r="C69" s="306"/>
      <c r="D69" s="307"/>
      <c r="E69" s="307"/>
      <c r="F69" s="308"/>
    </row>
    <row r="70" spans="2:6" customFormat="1" x14ac:dyDescent="0.35">
      <c r="B70" s="80" t="s">
        <v>289</v>
      </c>
      <c r="C70" s="306"/>
      <c r="D70" s="307"/>
      <c r="E70" s="307"/>
      <c r="F70" s="308"/>
    </row>
    <row r="71" spans="2:6" customFormat="1" x14ac:dyDescent="0.35">
      <c r="B71" s="80" t="s">
        <v>290</v>
      </c>
      <c r="C71" s="306"/>
      <c r="D71" s="307"/>
      <c r="E71" s="307"/>
      <c r="F71" s="308"/>
    </row>
    <row r="72" spans="2:6" customFormat="1" x14ac:dyDescent="0.35">
      <c r="B72" s="80" t="s">
        <v>291</v>
      </c>
      <c r="C72" s="306"/>
      <c r="D72" s="307"/>
      <c r="E72" s="307"/>
      <c r="F72" s="308"/>
    </row>
    <row r="73" spans="2:6" customFormat="1" x14ac:dyDescent="0.35">
      <c r="B73" s="80" t="s">
        <v>292</v>
      </c>
      <c r="C73" s="306"/>
      <c r="D73" s="307"/>
      <c r="E73" s="307"/>
      <c r="F73" s="308"/>
    </row>
    <row r="74" spans="2:6" customFormat="1" x14ac:dyDescent="0.35">
      <c r="B74" s="80" t="s">
        <v>293</v>
      </c>
      <c r="C74" s="306"/>
      <c r="D74" s="307"/>
      <c r="E74" s="307"/>
      <c r="F74" s="308"/>
    </row>
    <row r="75" spans="2:6" customFormat="1" x14ac:dyDescent="0.35">
      <c r="B75" s="80" t="s">
        <v>294</v>
      </c>
      <c r="C75" s="306"/>
      <c r="D75" s="307"/>
      <c r="E75" s="307"/>
      <c r="F75" s="308"/>
    </row>
    <row r="76" spans="2:6" customFormat="1" x14ac:dyDescent="0.35">
      <c r="B76" s="80" t="s">
        <v>295</v>
      </c>
      <c r="C76" s="306"/>
      <c r="D76" s="307"/>
      <c r="E76" s="307"/>
      <c r="F76" s="308"/>
    </row>
    <row r="77" spans="2:6" customFormat="1" x14ac:dyDescent="0.35">
      <c r="B77" s="80" t="s">
        <v>296</v>
      </c>
      <c r="C77" s="306"/>
      <c r="D77" s="307"/>
      <c r="E77" s="307"/>
      <c r="F77" s="308"/>
    </row>
    <row r="78" spans="2:6" customFormat="1" x14ac:dyDescent="0.35">
      <c r="B78" s="80" t="s">
        <v>297</v>
      </c>
      <c r="C78" s="306"/>
      <c r="D78" s="307"/>
      <c r="E78" s="307"/>
      <c r="F78" s="308"/>
    </row>
    <row r="79" spans="2:6" customFormat="1" x14ac:dyDescent="0.35">
      <c r="B79" s="80" t="s">
        <v>298</v>
      </c>
      <c r="C79" s="306"/>
      <c r="D79" s="307"/>
      <c r="E79" s="307"/>
      <c r="F79" s="308"/>
    </row>
    <row r="80" spans="2:6" customFormat="1" x14ac:dyDescent="0.35">
      <c r="B80" s="80" t="s">
        <v>299</v>
      </c>
      <c r="C80" s="306"/>
      <c r="D80" s="307"/>
      <c r="E80" s="307"/>
      <c r="F80" s="308"/>
    </row>
    <row r="81" spans="2:6" customFormat="1" x14ac:dyDescent="0.35">
      <c r="B81" s="80" t="s">
        <v>300</v>
      </c>
      <c r="C81" s="306"/>
      <c r="D81" s="307"/>
      <c r="E81" s="307"/>
      <c r="F81" s="308"/>
    </row>
    <row r="82" spans="2:6" customFormat="1" x14ac:dyDescent="0.35">
      <c r="B82" s="80" t="s">
        <v>301</v>
      </c>
      <c r="C82" s="306"/>
      <c r="D82" s="307"/>
      <c r="E82" s="307"/>
      <c r="F82" s="308"/>
    </row>
    <row r="83" spans="2:6" customFormat="1" x14ac:dyDescent="0.35">
      <c r="B83" s="80" t="s">
        <v>302</v>
      </c>
      <c r="C83" s="306"/>
      <c r="D83" s="307"/>
      <c r="E83" s="307"/>
      <c r="F83" s="308"/>
    </row>
    <row r="84" spans="2:6" customFormat="1" x14ac:dyDescent="0.35">
      <c r="B84" s="80" t="s">
        <v>303</v>
      </c>
      <c r="C84" s="306"/>
      <c r="D84" s="307"/>
      <c r="E84" s="307"/>
      <c r="F84" s="308"/>
    </row>
    <row r="85" spans="2:6" customFormat="1" x14ac:dyDescent="0.35">
      <c r="B85" s="80" t="s">
        <v>304</v>
      </c>
      <c r="C85" s="306"/>
      <c r="D85" s="307"/>
      <c r="E85" s="307"/>
      <c r="F85" s="308"/>
    </row>
    <row r="86" spans="2:6" customFormat="1" x14ac:dyDescent="0.35">
      <c r="B86" s="80" t="s">
        <v>305</v>
      </c>
      <c r="C86" s="306"/>
      <c r="D86" s="307"/>
      <c r="E86" s="307"/>
      <c r="F86" s="308"/>
    </row>
    <row r="87" spans="2:6" customFormat="1" x14ac:dyDescent="0.35">
      <c r="B87" s="80" t="s">
        <v>306</v>
      </c>
      <c r="C87" s="306"/>
      <c r="D87" s="307"/>
      <c r="E87" s="307"/>
      <c r="F87" s="308"/>
    </row>
    <row r="88" spans="2:6" customFormat="1" x14ac:dyDescent="0.35">
      <c r="B88" s="80" t="s">
        <v>307</v>
      </c>
      <c r="C88" s="306"/>
      <c r="D88" s="307"/>
      <c r="E88" s="307"/>
      <c r="F88" s="308"/>
    </row>
    <row r="89" spans="2:6" customFormat="1" x14ac:dyDescent="0.35">
      <c r="B89" s="80" t="s">
        <v>308</v>
      </c>
      <c r="C89" s="306"/>
      <c r="D89" s="307"/>
      <c r="E89" s="307"/>
      <c r="F89" s="308"/>
    </row>
    <row r="90" spans="2:6" customFormat="1" x14ac:dyDescent="0.35">
      <c r="B90" s="80" t="s">
        <v>309</v>
      </c>
      <c r="C90" s="306"/>
      <c r="D90" s="307"/>
      <c r="E90" s="307"/>
      <c r="F90" s="308"/>
    </row>
    <row r="91" spans="2:6" customFormat="1" x14ac:dyDescent="0.35">
      <c r="B91" s="80" t="s">
        <v>310</v>
      </c>
      <c r="C91" s="306"/>
      <c r="D91" s="307"/>
      <c r="E91" s="307"/>
      <c r="F91" s="308"/>
    </row>
    <row r="92" spans="2:6" customFormat="1" x14ac:dyDescent="0.35">
      <c r="B92" s="80" t="s">
        <v>311</v>
      </c>
      <c r="C92" s="306"/>
      <c r="D92" s="307"/>
      <c r="E92" s="307"/>
      <c r="F92" s="308"/>
    </row>
    <row r="93" spans="2:6" customFormat="1" x14ac:dyDescent="0.35">
      <c r="B93" s="80" t="s">
        <v>312</v>
      </c>
      <c r="C93" s="306"/>
      <c r="D93" s="307"/>
      <c r="E93" s="307"/>
      <c r="F93" s="308"/>
    </row>
    <row r="94" spans="2:6" customFormat="1" x14ac:dyDescent="0.35">
      <c r="B94" s="80" t="s">
        <v>313</v>
      </c>
      <c r="C94" s="306"/>
      <c r="D94" s="307"/>
      <c r="E94" s="307"/>
      <c r="F94" s="308"/>
    </row>
    <row r="95" spans="2:6" customFormat="1" x14ac:dyDescent="0.35">
      <c r="B95" s="80" t="s">
        <v>314</v>
      </c>
      <c r="C95" s="306"/>
      <c r="D95" s="307"/>
      <c r="E95" s="307"/>
      <c r="F95" s="308"/>
    </row>
    <row r="96" spans="2:6" customFormat="1" x14ac:dyDescent="0.35">
      <c r="B96" s="80" t="s">
        <v>315</v>
      </c>
      <c r="C96" s="306"/>
      <c r="D96" s="307"/>
      <c r="E96" s="307"/>
      <c r="F96" s="308"/>
    </row>
    <row r="97" spans="2:6" customFormat="1" x14ac:dyDescent="0.35">
      <c r="B97" s="80" t="s">
        <v>316</v>
      </c>
      <c r="C97" s="306"/>
      <c r="D97" s="307"/>
      <c r="E97" s="307"/>
      <c r="F97" s="308"/>
    </row>
    <row r="98" spans="2:6" customFormat="1" x14ac:dyDescent="0.35">
      <c r="B98" s="80" t="s">
        <v>317</v>
      </c>
      <c r="C98" s="306"/>
      <c r="D98" s="307"/>
      <c r="E98" s="307"/>
      <c r="F98" s="308"/>
    </row>
    <row r="99" spans="2:6" customFormat="1" x14ac:dyDescent="0.35">
      <c r="B99" s="80" t="s">
        <v>318</v>
      </c>
      <c r="C99" s="306"/>
      <c r="D99" s="307"/>
      <c r="E99" s="307"/>
      <c r="F99" s="308"/>
    </row>
    <row r="100" spans="2:6" customFormat="1" x14ac:dyDescent="0.35">
      <c r="B100" s="80" t="s">
        <v>319</v>
      </c>
      <c r="C100" s="306"/>
      <c r="D100" s="307"/>
      <c r="E100" s="307"/>
      <c r="F100" s="308"/>
    </row>
    <row r="101" spans="2:6" customFormat="1" x14ac:dyDescent="0.35">
      <c r="B101" s="80" t="s">
        <v>320</v>
      </c>
      <c r="C101" s="306"/>
      <c r="D101" s="307"/>
      <c r="E101" s="307"/>
      <c r="F101" s="308"/>
    </row>
    <row r="102" spans="2:6" customFormat="1" x14ac:dyDescent="0.35">
      <c r="B102" s="80" t="s">
        <v>321</v>
      </c>
      <c r="C102" s="306"/>
      <c r="D102" s="307"/>
      <c r="E102" s="307"/>
      <c r="F102" s="308"/>
    </row>
    <row r="103" spans="2:6" customFormat="1" x14ac:dyDescent="0.35">
      <c r="B103" s="80" t="s">
        <v>322</v>
      </c>
      <c r="C103" s="306"/>
      <c r="D103" s="307"/>
      <c r="E103" s="307"/>
      <c r="F103" s="308"/>
    </row>
    <row r="104" spans="2:6" customFormat="1" x14ac:dyDescent="0.35">
      <c r="B104" s="80" t="s">
        <v>323</v>
      </c>
      <c r="C104" s="306"/>
      <c r="D104" s="307"/>
      <c r="E104" s="307"/>
      <c r="F104" s="308"/>
    </row>
    <row r="105" spans="2:6" customFormat="1" x14ac:dyDescent="0.35">
      <c r="B105" s="80" t="s">
        <v>324</v>
      </c>
      <c r="C105" s="306"/>
      <c r="D105" s="307"/>
      <c r="E105" s="307"/>
      <c r="F105" s="308"/>
    </row>
    <row r="106" spans="2:6" customFormat="1" x14ac:dyDescent="0.35">
      <c r="B106" s="80" t="s">
        <v>325</v>
      </c>
      <c r="C106" s="306"/>
      <c r="D106" s="307"/>
      <c r="E106" s="307"/>
      <c r="F106" s="308"/>
    </row>
    <row r="107" spans="2:6" customFormat="1" x14ac:dyDescent="0.35">
      <c r="B107" s="80" t="s">
        <v>326</v>
      </c>
      <c r="C107" s="306"/>
      <c r="D107" s="307"/>
      <c r="E107" s="307"/>
      <c r="F107" s="308"/>
    </row>
    <row r="108" spans="2:6" customFormat="1" x14ac:dyDescent="0.35">
      <c r="B108" s="80" t="s">
        <v>327</v>
      </c>
      <c r="C108" s="306"/>
      <c r="D108" s="307"/>
      <c r="E108" s="307"/>
      <c r="F108" s="308"/>
    </row>
    <row r="109" spans="2:6" customFormat="1" x14ac:dyDescent="0.35">
      <c r="B109" s="80" t="s">
        <v>328</v>
      </c>
      <c r="C109" s="306"/>
      <c r="D109" s="307"/>
      <c r="E109" s="307"/>
      <c r="F109" s="308"/>
    </row>
    <row r="110" spans="2:6" customFormat="1" x14ac:dyDescent="0.35">
      <c r="B110" s="80" t="s">
        <v>329</v>
      </c>
      <c r="C110" s="306"/>
      <c r="D110" s="307"/>
      <c r="E110" s="307"/>
      <c r="F110" s="308"/>
    </row>
    <row r="111" spans="2:6" customFormat="1" x14ac:dyDescent="0.35">
      <c r="B111" s="80" t="s">
        <v>330</v>
      </c>
      <c r="C111" s="306"/>
      <c r="D111" s="307"/>
      <c r="E111" s="307"/>
      <c r="F111" s="308"/>
    </row>
    <row r="112" spans="2:6" customFormat="1" x14ac:dyDescent="0.35">
      <c r="B112" s="80" t="s">
        <v>331</v>
      </c>
      <c r="C112" s="306"/>
      <c r="D112" s="307"/>
      <c r="E112" s="307"/>
      <c r="F112" s="308"/>
    </row>
    <row r="113" spans="2:6" customFormat="1" x14ac:dyDescent="0.35">
      <c r="B113" s="80" t="s">
        <v>332</v>
      </c>
      <c r="C113" s="306"/>
      <c r="D113" s="307"/>
      <c r="E113" s="307"/>
      <c r="F113" s="308"/>
    </row>
    <row r="114" spans="2:6" customFormat="1" x14ac:dyDescent="0.35">
      <c r="B114" s="80" t="s">
        <v>333</v>
      </c>
      <c r="C114" s="306"/>
      <c r="D114" s="307"/>
      <c r="E114" s="307"/>
      <c r="F114" s="308"/>
    </row>
    <row r="115" spans="2:6" customFormat="1" x14ac:dyDescent="0.35">
      <c r="B115" s="80" t="s">
        <v>334</v>
      </c>
      <c r="C115" s="306"/>
      <c r="D115" s="307"/>
      <c r="E115" s="307"/>
      <c r="F115" s="308"/>
    </row>
    <row r="116" spans="2:6" customFormat="1" x14ac:dyDescent="0.35">
      <c r="B116" s="80" t="s">
        <v>335</v>
      </c>
      <c r="C116" s="306"/>
      <c r="D116" s="307"/>
      <c r="E116" s="307"/>
      <c r="F116" s="308"/>
    </row>
    <row r="117" spans="2:6" customFormat="1" x14ac:dyDescent="0.35">
      <c r="B117" s="80" t="s">
        <v>336</v>
      </c>
      <c r="C117" s="306"/>
      <c r="D117" s="307"/>
      <c r="E117" s="307"/>
      <c r="F117" s="308"/>
    </row>
    <row r="118" spans="2:6" customFormat="1" x14ac:dyDescent="0.35">
      <c r="B118" s="80" t="s">
        <v>337</v>
      </c>
      <c r="C118" s="306"/>
      <c r="D118" s="307"/>
      <c r="E118" s="307"/>
      <c r="F118" s="308"/>
    </row>
    <row r="119" spans="2:6" customFormat="1" x14ac:dyDescent="0.35">
      <c r="B119" s="80" t="s">
        <v>338</v>
      </c>
      <c r="C119" s="306"/>
      <c r="D119" s="307"/>
      <c r="E119" s="307"/>
      <c r="F119" s="308"/>
    </row>
    <row r="120" spans="2:6" customFormat="1" x14ac:dyDescent="0.35">
      <c r="B120" s="80" t="s">
        <v>339</v>
      </c>
      <c r="C120" s="306"/>
      <c r="D120" s="307"/>
      <c r="E120" s="307"/>
      <c r="F120" s="308"/>
    </row>
    <row r="121" spans="2:6" customFormat="1" x14ac:dyDescent="0.35">
      <c r="B121" s="80" t="s">
        <v>340</v>
      </c>
      <c r="C121" s="306"/>
      <c r="D121" s="307"/>
      <c r="E121" s="307"/>
      <c r="F121" s="308"/>
    </row>
    <row r="122" spans="2:6" customFormat="1" x14ac:dyDescent="0.35">
      <c r="B122" s="80" t="s">
        <v>341</v>
      </c>
      <c r="C122" s="306"/>
      <c r="D122" s="307"/>
      <c r="E122" s="307"/>
      <c r="F122" s="308"/>
    </row>
    <row r="123" spans="2:6" customFormat="1" x14ac:dyDescent="0.35">
      <c r="B123" s="80" t="s">
        <v>342</v>
      </c>
      <c r="C123" s="306"/>
      <c r="D123" s="307"/>
      <c r="E123" s="307"/>
      <c r="F123" s="308"/>
    </row>
    <row r="124" spans="2:6" customFormat="1" x14ac:dyDescent="0.35">
      <c r="B124" s="80" t="s">
        <v>343</v>
      </c>
      <c r="C124" s="306"/>
      <c r="D124" s="307"/>
      <c r="E124" s="307"/>
      <c r="F124" s="308"/>
    </row>
    <row r="125" spans="2:6" customFormat="1" x14ac:dyDescent="0.35">
      <c r="B125" s="80" t="s">
        <v>344</v>
      </c>
      <c r="C125" s="306"/>
      <c r="D125" s="307"/>
      <c r="E125" s="307"/>
      <c r="F125" s="308"/>
    </row>
    <row r="126" spans="2:6" customFormat="1" x14ac:dyDescent="0.35">
      <c r="B126" s="80" t="s">
        <v>345</v>
      </c>
      <c r="C126" s="306"/>
      <c r="D126" s="307"/>
      <c r="E126" s="307"/>
      <c r="F126" s="308"/>
    </row>
    <row r="127" spans="2:6" customFormat="1" x14ac:dyDescent="0.35">
      <c r="B127" s="80" t="s">
        <v>346</v>
      </c>
      <c r="C127" s="306"/>
      <c r="D127" s="307"/>
      <c r="E127" s="307"/>
      <c r="F127" s="308"/>
    </row>
    <row r="128" spans="2:6" customFormat="1" x14ac:dyDescent="0.35">
      <c r="B128" s="80" t="s">
        <v>347</v>
      </c>
      <c r="C128" s="306"/>
      <c r="D128" s="307"/>
      <c r="E128" s="307"/>
      <c r="F128" s="308"/>
    </row>
    <row r="129" spans="2:6" customFormat="1" x14ac:dyDescent="0.35">
      <c r="B129" s="80" t="s">
        <v>348</v>
      </c>
      <c r="C129" s="306"/>
      <c r="D129" s="307"/>
      <c r="E129" s="307"/>
      <c r="F129" s="308"/>
    </row>
    <row r="130" spans="2:6" customFormat="1" x14ac:dyDescent="0.35">
      <c r="B130" s="80" t="s">
        <v>349</v>
      </c>
      <c r="C130" s="306"/>
      <c r="D130" s="307"/>
      <c r="E130" s="307"/>
      <c r="F130" s="308"/>
    </row>
    <row r="131" spans="2:6" customFormat="1" x14ac:dyDescent="0.35">
      <c r="B131" s="80" t="s">
        <v>350</v>
      </c>
      <c r="C131" s="306"/>
      <c r="D131" s="307"/>
      <c r="E131" s="307"/>
      <c r="F131" s="308"/>
    </row>
    <row r="132" spans="2:6" customFormat="1" x14ac:dyDescent="0.35">
      <c r="B132" s="80" t="s">
        <v>351</v>
      </c>
      <c r="C132" s="306"/>
      <c r="D132" s="307"/>
      <c r="E132" s="307"/>
      <c r="F132" s="308"/>
    </row>
    <row r="133" spans="2:6" customFormat="1" x14ac:dyDescent="0.35">
      <c r="B133" s="80" t="s">
        <v>352</v>
      </c>
      <c r="C133" s="306"/>
      <c r="D133" s="307"/>
      <c r="E133" s="307"/>
      <c r="F133" s="308"/>
    </row>
    <row r="134" spans="2:6" customFormat="1" x14ac:dyDescent="0.35">
      <c r="B134" s="80" t="s">
        <v>353</v>
      </c>
      <c r="C134" s="306"/>
      <c r="D134" s="307"/>
      <c r="E134" s="307"/>
      <c r="F134" s="308"/>
    </row>
    <row r="135" spans="2:6" customFormat="1" x14ac:dyDescent="0.35">
      <c r="B135" s="80" t="s">
        <v>354</v>
      </c>
      <c r="C135" s="306"/>
      <c r="D135" s="307"/>
      <c r="E135" s="307"/>
      <c r="F135" s="308"/>
    </row>
    <row r="136" spans="2:6" customFormat="1" x14ac:dyDescent="0.35">
      <c r="B136" s="80" t="s">
        <v>355</v>
      </c>
      <c r="C136" s="306"/>
      <c r="D136" s="307"/>
      <c r="E136" s="307"/>
      <c r="F136" s="308"/>
    </row>
    <row r="137" spans="2:6" customFormat="1" x14ac:dyDescent="0.35">
      <c r="B137" s="80" t="s">
        <v>356</v>
      </c>
      <c r="C137" s="306"/>
      <c r="D137" s="307"/>
      <c r="E137" s="307"/>
      <c r="F137" s="308"/>
    </row>
    <row r="138" spans="2:6" customFormat="1" x14ac:dyDescent="0.35">
      <c r="B138" s="80" t="s">
        <v>357</v>
      </c>
      <c r="C138" s="306"/>
      <c r="D138" s="307"/>
      <c r="E138" s="307"/>
      <c r="F138" s="308"/>
    </row>
    <row r="139" spans="2:6" customFormat="1" x14ac:dyDescent="0.35">
      <c r="B139" s="80" t="s">
        <v>358</v>
      </c>
      <c r="C139" s="306"/>
      <c r="D139" s="307"/>
      <c r="E139" s="307"/>
      <c r="F139" s="308"/>
    </row>
    <row r="140" spans="2:6" customFormat="1" x14ac:dyDescent="0.35">
      <c r="B140" s="80" t="s">
        <v>359</v>
      </c>
      <c r="C140" s="306"/>
      <c r="D140" s="307"/>
      <c r="E140" s="307"/>
      <c r="F140" s="308"/>
    </row>
    <row r="141" spans="2:6" customFormat="1" x14ac:dyDescent="0.35">
      <c r="B141" s="80" t="s">
        <v>360</v>
      </c>
      <c r="C141" s="306"/>
      <c r="D141" s="307"/>
      <c r="E141" s="307"/>
      <c r="F141" s="308"/>
    </row>
    <row r="142" spans="2:6" customFormat="1" x14ac:dyDescent="0.35">
      <c r="B142" s="80" t="s">
        <v>361</v>
      </c>
      <c r="C142" s="306"/>
      <c r="D142" s="307"/>
      <c r="E142" s="307"/>
      <c r="F142" s="308"/>
    </row>
    <row r="143" spans="2:6" customFormat="1" x14ac:dyDescent="0.35">
      <c r="B143" s="80" t="s">
        <v>362</v>
      </c>
      <c r="C143" s="306"/>
      <c r="D143" s="307"/>
      <c r="E143" s="307"/>
      <c r="F143" s="308"/>
    </row>
    <row r="144" spans="2:6" customFormat="1" x14ac:dyDescent="0.35">
      <c r="B144" s="80" t="s">
        <v>363</v>
      </c>
      <c r="C144" s="306"/>
      <c r="D144" s="307"/>
      <c r="E144" s="307"/>
      <c r="F144" s="308"/>
    </row>
    <row r="145" spans="2:6" customFormat="1" x14ac:dyDescent="0.35">
      <c r="B145" s="80" t="s">
        <v>364</v>
      </c>
      <c r="C145" s="306"/>
      <c r="D145" s="307"/>
      <c r="E145" s="307"/>
      <c r="F145" s="308"/>
    </row>
    <row r="146" spans="2:6" customFormat="1" x14ac:dyDescent="0.35">
      <c r="B146" s="80" t="s">
        <v>365</v>
      </c>
      <c r="C146" s="306"/>
      <c r="D146" s="307"/>
      <c r="E146" s="307"/>
      <c r="F146" s="308"/>
    </row>
    <row r="147" spans="2:6" customFormat="1" x14ac:dyDescent="0.35">
      <c r="B147" s="80" t="s">
        <v>366</v>
      </c>
      <c r="C147" s="306"/>
      <c r="D147" s="307"/>
      <c r="E147" s="307"/>
      <c r="F147" s="308"/>
    </row>
    <row r="148" spans="2:6" customFormat="1" x14ac:dyDescent="0.35">
      <c r="B148" s="80" t="s">
        <v>367</v>
      </c>
      <c r="C148" s="306"/>
      <c r="D148" s="307"/>
      <c r="E148" s="307"/>
      <c r="F148" s="308"/>
    </row>
    <row r="149" spans="2:6" customFormat="1" x14ac:dyDescent="0.35">
      <c r="B149" s="80" t="s">
        <v>368</v>
      </c>
      <c r="C149" s="306"/>
      <c r="D149" s="307"/>
      <c r="E149" s="307"/>
      <c r="F149" s="308"/>
    </row>
    <row r="150" spans="2:6" customFormat="1" x14ac:dyDescent="0.35">
      <c r="B150" s="80" t="s">
        <v>369</v>
      </c>
      <c r="C150" s="306"/>
      <c r="D150" s="307"/>
      <c r="E150" s="307"/>
      <c r="F150" s="308"/>
    </row>
    <row r="151" spans="2:6" customFormat="1" x14ac:dyDescent="0.35">
      <c r="B151" s="80" t="s">
        <v>370</v>
      </c>
      <c r="C151" s="306"/>
      <c r="D151" s="307"/>
      <c r="E151" s="307"/>
      <c r="F151" s="308"/>
    </row>
    <row r="152" spans="2:6" customFormat="1" x14ac:dyDescent="0.35">
      <c r="B152" s="80" t="s">
        <v>371</v>
      </c>
      <c r="C152" s="306"/>
      <c r="D152" s="307"/>
      <c r="E152" s="307"/>
      <c r="F152" s="308"/>
    </row>
    <row r="153" spans="2:6" customFormat="1" x14ac:dyDescent="0.35">
      <c r="B153" s="80" t="s">
        <v>372</v>
      </c>
      <c r="C153" s="306"/>
      <c r="D153" s="307"/>
      <c r="E153" s="307"/>
      <c r="F153" s="308"/>
    </row>
    <row r="154" spans="2:6" customFormat="1" x14ac:dyDescent="0.35">
      <c r="B154" s="80" t="s">
        <v>373</v>
      </c>
      <c r="C154" s="306"/>
      <c r="D154" s="307"/>
      <c r="E154" s="307"/>
      <c r="F154" s="308"/>
    </row>
    <row r="155" spans="2:6" customFormat="1" x14ac:dyDescent="0.35">
      <c r="B155" s="80" t="s">
        <v>374</v>
      </c>
      <c r="C155" s="306"/>
      <c r="D155" s="307"/>
      <c r="E155" s="307"/>
      <c r="F155" s="308"/>
    </row>
    <row r="156" spans="2:6" customFormat="1" x14ac:dyDescent="0.35">
      <c r="B156" s="80" t="s">
        <v>375</v>
      </c>
      <c r="C156" s="306"/>
      <c r="D156" s="307"/>
      <c r="E156" s="307"/>
      <c r="F156" s="308"/>
    </row>
    <row r="157" spans="2:6" customFormat="1" x14ac:dyDescent="0.35">
      <c r="B157" s="80" t="s">
        <v>376</v>
      </c>
      <c r="C157" s="306"/>
      <c r="D157" s="307"/>
      <c r="E157" s="307"/>
      <c r="F157" s="308"/>
    </row>
    <row r="158" spans="2:6" customFormat="1" x14ac:dyDescent="0.35">
      <c r="B158" s="80" t="s">
        <v>377</v>
      </c>
      <c r="C158" s="306"/>
      <c r="D158" s="307"/>
      <c r="E158" s="307"/>
      <c r="F158" s="308"/>
    </row>
    <row r="159" spans="2:6" customFormat="1" x14ac:dyDescent="0.35">
      <c r="B159" s="80" t="s">
        <v>378</v>
      </c>
      <c r="C159" s="306"/>
      <c r="D159" s="307"/>
      <c r="E159" s="307"/>
      <c r="F159" s="308"/>
    </row>
    <row r="160" spans="2:6" customFormat="1" x14ac:dyDescent="0.35">
      <c r="B160" s="80" t="s">
        <v>379</v>
      </c>
      <c r="C160" s="306"/>
      <c r="D160" s="307"/>
      <c r="E160" s="307"/>
      <c r="F160" s="308"/>
    </row>
    <row r="161" spans="2:6" customFormat="1" x14ac:dyDescent="0.35">
      <c r="B161" s="80" t="s">
        <v>380</v>
      </c>
      <c r="C161" s="306"/>
      <c r="D161" s="307"/>
      <c r="E161" s="307"/>
      <c r="F161" s="308"/>
    </row>
    <row r="162" spans="2:6" customFormat="1" x14ac:dyDescent="0.35">
      <c r="B162" s="80" t="s">
        <v>381</v>
      </c>
      <c r="C162" s="306"/>
      <c r="D162" s="307"/>
      <c r="E162" s="307"/>
      <c r="F162" s="308"/>
    </row>
    <row r="163" spans="2:6" customFormat="1" x14ac:dyDescent="0.35">
      <c r="B163" s="80" t="s">
        <v>382</v>
      </c>
      <c r="C163" s="306"/>
      <c r="D163" s="307"/>
      <c r="E163" s="307"/>
      <c r="F163" s="308"/>
    </row>
    <row r="164" spans="2:6" customFormat="1" x14ac:dyDescent="0.35">
      <c r="B164" s="80" t="s">
        <v>383</v>
      </c>
      <c r="C164" s="306"/>
      <c r="D164" s="307"/>
      <c r="E164" s="307"/>
      <c r="F164" s="308"/>
    </row>
    <row r="165" spans="2:6" customFormat="1" x14ac:dyDescent="0.35">
      <c r="B165" s="80" t="s">
        <v>384</v>
      </c>
      <c r="C165" s="306"/>
      <c r="D165" s="307"/>
      <c r="E165" s="307"/>
      <c r="F165" s="308"/>
    </row>
    <row r="166" spans="2:6" customFormat="1" x14ac:dyDescent="0.35">
      <c r="B166" s="80" t="s">
        <v>385</v>
      </c>
      <c r="C166" s="306"/>
      <c r="D166" s="307"/>
      <c r="E166" s="307"/>
      <c r="F166" s="308"/>
    </row>
    <row r="167" spans="2:6" customFormat="1" x14ac:dyDescent="0.35">
      <c r="B167" s="80" t="s">
        <v>386</v>
      </c>
      <c r="C167" s="306"/>
      <c r="D167" s="307"/>
      <c r="E167" s="307"/>
      <c r="F167" s="308"/>
    </row>
    <row r="168" spans="2:6" customFormat="1" x14ac:dyDescent="0.35">
      <c r="B168" s="80" t="s">
        <v>387</v>
      </c>
      <c r="C168" s="306"/>
      <c r="D168" s="307"/>
      <c r="E168" s="307"/>
      <c r="F168" s="308"/>
    </row>
    <row r="169" spans="2:6" customFormat="1" x14ac:dyDescent="0.35">
      <c r="B169" s="80" t="s">
        <v>388</v>
      </c>
      <c r="C169" s="306"/>
      <c r="D169" s="307"/>
      <c r="E169" s="307"/>
      <c r="F169" s="308"/>
    </row>
    <row r="170" spans="2:6" customFormat="1" x14ac:dyDescent="0.35">
      <c r="B170" s="80" t="s">
        <v>389</v>
      </c>
      <c r="C170" s="306"/>
      <c r="D170" s="307"/>
      <c r="E170" s="307"/>
      <c r="F170" s="308"/>
    </row>
    <row r="171" spans="2:6" customFormat="1" x14ac:dyDescent="0.35">
      <c r="B171" s="80" t="s">
        <v>390</v>
      </c>
      <c r="C171" s="306"/>
      <c r="D171" s="307"/>
      <c r="E171" s="307"/>
      <c r="F171" s="308"/>
    </row>
    <row r="172" spans="2:6" customFormat="1" x14ac:dyDescent="0.35">
      <c r="B172" s="80" t="s">
        <v>391</v>
      </c>
      <c r="C172" s="306"/>
      <c r="D172" s="307"/>
      <c r="E172" s="307"/>
      <c r="F172" s="308"/>
    </row>
    <row r="173" spans="2:6" customFormat="1" x14ac:dyDescent="0.35">
      <c r="B173" s="80" t="s">
        <v>392</v>
      </c>
      <c r="C173" s="306"/>
      <c r="D173" s="307"/>
      <c r="E173" s="307"/>
      <c r="F173" s="308"/>
    </row>
    <row r="174" spans="2:6" customFormat="1" x14ac:dyDescent="0.35">
      <c r="B174" s="80" t="s">
        <v>393</v>
      </c>
      <c r="C174" s="306"/>
      <c r="D174" s="307"/>
      <c r="E174" s="307"/>
      <c r="F174" s="308"/>
    </row>
    <row r="175" spans="2:6" customFormat="1" x14ac:dyDescent="0.35">
      <c r="B175" s="80" t="s">
        <v>394</v>
      </c>
      <c r="C175" s="306"/>
      <c r="D175" s="307"/>
      <c r="E175" s="307"/>
      <c r="F175" s="308"/>
    </row>
    <row r="176" spans="2:6" customFormat="1" x14ac:dyDescent="0.35">
      <c r="B176" s="80" t="s">
        <v>395</v>
      </c>
      <c r="C176" s="306"/>
      <c r="D176" s="307"/>
      <c r="E176" s="307"/>
      <c r="F176" s="308"/>
    </row>
    <row r="177" spans="2:6" customFormat="1" x14ac:dyDescent="0.35">
      <c r="B177" s="80" t="s">
        <v>396</v>
      </c>
      <c r="C177" s="306"/>
      <c r="D177" s="307"/>
      <c r="E177" s="307"/>
      <c r="F177" s="308"/>
    </row>
    <row r="178" spans="2:6" customFormat="1" x14ac:dyDescent="0.35">
      <c r="B178" s="80" t="s">
        <v>397</v>
      </c>
      <c r="C178" s="306"/>
      <c r="D178" s="307"/>
      <c r="E178" s="307"/>
      <c r="F178" s="308"/>
    </row>
    <row r="179" spans="2:6" customFormat="1" x14ac:dyDescent="0.35">
      <c r="B179" s="80" t="s">
        <v>398</v>
      </c>
      <c r="C179" s="306"/>
      <c r="D179" s="307"/>
      <c r="E179" s="307"/>
      <c r="F179" s="308"/>
    </row>
    <row r="180" spans="2:6" customFormat="1" x14ac:dyDescent="0.35">
      <c r="B180" s="80" t="s">
        <v>399</v>
      </c>
      <c r="C180" s="306"/>
      <c r="D180" s="307"/>
      <c r="E180" s="307"/>
      <c r="F180" s="308"/>
    </row>
    <row r="181" spans="2:6" customFormat="1" x14ac:dyDescent="0.35">
      <c r="B181" s="80" t="s">
        <v>400</v>
      </c>
      <c r="C181" s="306"/>
      <c r="D181" s="307"/>
      <c r="E181" s="307"/>
      <c r="F181" s="308"/>
    </row>
    <row r="182" spans="2:6" customFormat="1" x14ac:dyDescent="0.35">
      <c r="B182" s="80" t="s">
        <v>401</v>
      </c>
      <c r="C182" s="306"/>
      <c r="D182" s="307"/>
      <c r="E182" s="307"/>
      <c r="F182" s="308"/>
    </row>
    <row r="183" spans="2:6" customFormat="1" x14ac:dyDescent="0.35">
      <c r="B183" s="80" t="s">
        <v>402</v>
      </c>
      <c r="C183" s="306"/>
      <c r="D183" s="307"/>
      <c r="E183" s="307"/>
      <c r="F183" s="308"/>
    </row>
    <row r="184" spans="2:6" customFormat="1" x14ac:dyDescent="0.35">
      <c r="B184" s="80" t="s">
        <v>403</v>
      </c>
      <c r="C184" s="306"/>
      <c r="D184" s="307"/>
      <c r="E184" s="307"/>
      <c r="F184" s="308"/>
    </row>
    <row r="185" spans="2:6" customFormat="1" x14ac:dyDescent="0.35">
      <c r="B185" s="80" t="s">
        <v>404</v>
      </c>
      <c r="C185" s="306"/>
      <c r="D185" s="307"/>
      <c r="E185" s="307"/>
      <c r="F185" s="308"/>
    </row>
    <row r="186" spans="2:6" customFormat="1" x14ac:dyDescent="0.35">
      <c r="B186" s="80" t="s">
        <v>405</v>
      </c>
      <c r="C186" s="306"/>
      <c r="D186" s="307"/>
      <c r="E186" s="307"/>
      <c r="F186" s="308"/>
    </row>
    <row r="187" spans="2:6" customFormat="1" x14ac:dyDescent="0.35">
      <c r="B187" s="80" t="s">
        <v>406</v>
      </c>
      <c r="C187" s="306"/>
      <c r="D187" s="307"/>
      <c r="E187" s="307"/>
      <c r="F187" s="308"/>
    </row>
    <row r="188" spans="2:6" customFormat="1" x14ac:dyDescent="0.35">
      <c r="B188" s="80" t="s">
        <v>407</v>
      </c>
      <c r="C188" s="306"/>
      <c r="D188" s="307"/>
      <c r="E188" s="307"/>
      <c r="F188" s="308"/>
    </row>
    <row r="189" spans="2:6" customFormat="1" x14ac:dyDescent="0.35">
      <c r="B189" s="80" t="s">
        <v>408</v>
      </c>
      <c r="C189" s="306"/>
      <c r="D189" s="307"/>
      <c r="E189" s="307"/>
      <c r="F189" s="308"/>
    </row>
    <row r="190" spans="2:6" customFormat="1" x14ac:dyDescent="0.35">
      <c r="B190" s="80" t="s">
        <v>409</v>
      </c>
      <c r="C190" s="306"/>
      <c r="D190" s="307"/>
      <c r="E190" s="307"/>
      <c r="F190" s="308"/>
    </row>
    <row r="191" spans="2:6" customFormat="1" x14ac:dyDescent="0.35">
      <c r="B191" s="80" t="s">
        <v>410</v>
      </c>
      <c r="C191" s="306"/>
      <c r="D191" s="307"/>
      <c r="E191" s="307"/>
      <c r="F191" s="308"/>
    </row>
    <row r="192" spans="2:6" customFormat="1" x14ac:dyDescent="0.35">
      <c r="B192" s="80" t="s">
        <v>411</v>
      </c>
      <c r="C192" s="306"/>
      <c r="D192" s="307"/>
      <c r="E192" s="307"/>
      <c r="F192" s="308"/>
    </row>
    <row r="193" spans="2:6" customFormat="1" x14ac:dyDescent="0.35">
      <c r="B193" s="80" t="s">
        <v>412</v>
      </c>
      <c r="C193" s="306"/>
      <c r="D193" s="307"/>
      <c r="E193" s="307"/>
      <c r="F193" s="308"/>
    </row>
    <row r="194" spans="2:6" customFormat="1" x14ac:dyDescent="0.35">
      <c r="B194" s="80" t="s">
        <v>413</v>
      </c>
      <c r="C194" s="306"/>
      <c r="D194" s="307"/>
      <c r="E194" s="307"/>
      <c r="F194" s="308"/>
    </row>
    <row r="195" spans="2:6" customFormat="1" x14ac:dyDescent="0.35">
      <c r="B195" s="80" t="s">
        <v>414</v>
      </c>
      <c r="C195" s="306"/>
      <c r="D195" s="307"/>
      <c r="E195" s="307"/>
      <c r="F195" s="308"/>
    </row>
    <row r="196" spans="2:6" customFormat="1" x14ac:dyDescent="0.35">
      <c r="B196" s="80" t="s">
        <v>415</v>
      </c>
      <c r="C196" s="306"/>
      <c r="D196" s="307"/>
      <c r="E196" s="307"/>
      <c r="F196" s="308"/>
    </row>
    <row r="197" spans="2:6" customFormat="1" x14ac:dyDescent="0.35">
      <c r="B197" s="80" t="s">
        <v>416</v>
      </c>
      <c r="C197" s="306"/>
      <c r="D197" s="307"/>
      <c r="E197" s="307"/>
      <c r="F197" s="308"/>
    </row>
    <row r="198" spans="2:6" customFormat="1" x14ac:dyDescent="0.35">
      <c r="B198" s="80" t="s">
        <v>417</v>
      </c>
      <c r="C198" s="306"/>
      <c r="D198" s="307"/>
      <c r="E198" s="307"/>
      <c r="F198" s="308"/>
    </row>
    <row r="199" spans="2:6" customFormat="1" x14ac:dyDescent="0.35">
      <c r="B199" s="80" t="s">
        <v>418</v>
      </c>
      <c r="C199" s="306"/>
      <c r="D199" s="307"/>
      <c r="E199" s="307"/>
      <c r="F199" s="308"/>
    </row>
    <row r="200" spans="2:6" customFormat="1" x14ac:dyDescent="0.35">
      <c r="B200" s="80" t="s">
        <v>419</v>
      </c>
      <c r="C200" s="306"/>
      <c r="D200" s="307"/>
      <c r="E200" s="307"/>
      <c r="F200" s="308"/>
    </row>
    <row r="201" spans="2:6" customFormat="1" x14ac:dyDescent="0.35">
      <c r="B201" s="80" t="s">
        <v>420</v>
      </c>
      <c r="C201" s="306"/>
      <c r="D201" s="307"/>
      <c r="E201" s="307"/>
      <c r="F201" s="308"/>
    </row>
    <row r="202" spans="2:6" customFormat="1" x14ac:dyDescent="0.35">
      <c r="B202" s="80" t="s">
        <v>421</v>
      </c>
      <c r="C202" s="306"/>
      <c r="D202" s="307"/>
      <c r="E202" s="307"/>
      <c r="F202" s="308"/>
    </row>
    <row r="203" spans="2:6" customFormat="1" x14ac:dyDescent="0.35">
      <c r="B203" s="80" t="s">
        <v>422</v>
      </c>
      <c r="C203" s="306"/>
      <c r="D203" s="307"/>
      <c r="E203" s="307"/>
      <c r="F203" s="308"/>
    </row>
    <row r="204" spans="2:6" customFormat="1" x14ac:dyDescent="0.35">
      <c r="B204" s="80" t="s">
        <v>423</v>
      </c>
      <c r="C204" s="306"/>
      <c r="D204" s="307"/>
      <c r="E204" s="307"/>
      <c r="F204" s="308"/>
    </row>
    <row r="205" spans="2:6" customFormat="1" x14ac:dyDescent="0.35">
      <c r="B205" s="80" t="s">
        <v>424</v>
      </c>
      <c r="C205" s="306"/>
      <c r="D205" s="307"/>
      <c r="E205" s="307"/>
      <c r="F205" s="308"/>
    </row>
    <row r="206" spans="2:6" customFormat="1" x14ac:dyDescent="0.35">
      <c r="B206" s="80" t="s">
        <v>425</v>
      </c>
      <c r="C206" s="306"/>
      <c r="D206" s="307"/>
      <c r="E206" s="307"/>
      <c r="F206" s="308"/>
    </row>
    <row r="207" spans="2:6" customFormat="1" x14ac:dyDescent="0.35">
      <c r="B207" s="80" t="s">
        <v>426</v>
      </c>
      <c r="C207" s="306"/>
      <c r="D207" s="307"/>
      <c r="E207" s="307"/>
      <c r="F207" s="308"/>
    </row>
    <row r="208" spans="2:6" customFormat="1" x14ac:dyDescent="0.35">
      <c r="B208" s="80" t="s">
        <v>427</v>
      </c>
      <c r="C208" s="306"/>
      <c r="D208" s="307"/>
      <c r="E208" s="307"/>
      <c r="F208" s="308"/>
    </row>
    <row r="209" spans="2:6" customFormat="1" x14ac:dyDescent="0.35">
      <c r="B209" s="80" t="s">
        <v>428</v>
      </c>
      <c r="C209" s="306"/>
      <c r="D209" s="307"/>
      <c r="E209" s="307"/>
      <c r="F209" s="308"/>
    </row>
    <row r="210" spans="2:6" customFormat="1" x14ac:dyDescent="0.35">
      <c r="B210" s="80" t="s">
        <v>429</v>
      </c>
      <c r="C210" s="306"/>
      <c r="D210" s="307"/>
      <c r="E210" s="307"/>
      <c r="F210" s="308"/>
    </row>
    <row r="211" spans="2:6" customFormat="1" x14ac:dyDescent="0.35">
      <c r="B211" s="80" t="s">
        <v>430</v>
      </c>
      <c r="C211" s="306"/>
      <c r="D211" s="307"/>
      <c r="E211" s="307"/>
      <c r="F211" s="308"/>
    </row>
    <row r="212" spans="2:6" customFormat="1" x14ac:dyDescent="0.35">
      <c r="B212" s="80" t="s">
        <v>431</v>
      </c>
      <c r="C212" s="306"/>
      <c r="D212" s="307"/>
      <c r="E212" s="307"/>
      <c r="F212" s="308"/>
    </row>
    <row r="213" spans="2:6" customFormat="1" x14ac:dyDescent="0.35">
      <c r="B213" s="80" t="s">
        <v>432</v>
      </c>
      <c r="C213" s="306"/>
      <c r="D213" s="307"/>
      <c r="E213" s="307"/>
      <c r="F213" s="308"/>
    </row>
  </sheetData>
  <mergeCells count="3">
    <mergeCell ref="B2:F2"/>
    <mergeCell ref="B3:F10"/>
    <mergeCell ref="H2:M14"/>
  </mergeCells>
  <dataValidations count="2">
    <dataValidation type="list" allowBlank="1" showInputMessage="1" showErrorMessage="1" sqref="C13" xr:uid="{00000000-0002-0000-0500-000000000000}">
      <formula1>FixtureTypes</formula1>
    </dataValidation>
    <dataValidation type="list" allowBlank="1" showInputMessage="1" showErrorMessage="1" error="Please select from the drop-down list. (click on the cell, then click on the downward triangle to the right of the cell)" sqref="C14:C213" xr:uid="{00000000-0002-0000-0500-000001000000}">
      <formula1>FixtureTypes</formula1>
    </dataValidation>
  </dataValidations>
  <pageMargins left="0.7" right="0.7" top="0.75" bottom="0.75" header="0.3" footer="0.3"/>
  <pageSetup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autoPageBreaks="0"/>
  </sheetPr>
  <dimension ref="A2:BC240"/>
  <sheetViews>
    <sheetView showGridLines="0" showRowColHeaders="0" zoomScale="90" zoomScaleNormal="90" workbookViewId="0">
      <selection activeCell="C35" sqref="C35"/>
    </sheetView>
  </sheetViews>
  <sheetFormatPr defaultRowHeight="14.5" x14ac:dyDescent="0.35"/>
  <cols>
    <col min="1" max="1" width="6.81640625" style="357" customWidth="1"/>
    <col min="2" max="2" width="8.54296875" customWidth="1"/>
    <col min="3" max="3" width="24.453125" customWidth="1"/>
    <col min="4" max="4" width="5.54296875" style="3" customWidth="1"/>
    <col min="5" max="5" width="9.81640625" style="3" customWidth="1"/>
    <col min="6" max="6" width="32.1796875" customWidth="1"/>
    <col min="7" max="7" width="17.54296875" customWidth="1"/>
    <col min="8" max="8" width="14.1796875" bestFit="1" customWidth="1"/>
    <col min="9" max="9" width="13.453125" bestFit="1" customWidth="1"/>
    <col min="10" max="10" width="10" customWidth="1"/>
    <col min="11" max="11" width="18.453125" style="168" bestFit="1" customWidth="1"/>
    <col min="12" max="12" width="9.54296875" customWidth="1"/>
    <col min="13" max="13" width="9.81640625" customWidth="1"/>
    <col min="14" max="14" width="9.453125" customWidth="1"/>
    <col min="15" max="15" width="16" style="3" customWidth="1"/>
    <col min="16" max="16" width="13.81640625" customWidth="1"/>
    <col min="17" max="17" width="10" customWidth="1"/>
    <col min="18" max="18" width="19.26953125" bestFit="1" customWidth="1"/>
    <col min="19" max="19" width="15.1796875" style="3" customWidth="1"/>
    <col min="20" max="26" width="15.1796875" hidden="1" customWidth="1"/>
    <col min="27" max="27" width="17.1796875" hidden="1" customWidth="1"/>
    <col min="28" max="29" width="15.1796875" hidden="1" customWidth="1"/>
    <col min="30" max="30" width="12" bestFit="1" customWidth="1"/>
    <col min="31" max="31" width="8.7265625" hidden="1" customWidth="1"/>
    <col min="32" max="32" width="33.26953125" style="3" hidden="1" customWidth="1"/>
    <col min="33" max="33" width="10.54296875" style="11" hidden="1" customWidth="1"/>
    <col min="34" max="35" width="8.7265625" style="11" hidden="1" customWidth="1"/>
    <col min="36" max="36" width="69.453125" style="11" hidden="1" customWidth="1"/>
    <col min="37" max="40" width="27" style="159" hidden="1" customWidth="1"/>
    <col min="41" max="41" width="25.453125" style="159" hidden="1" customWidth="1"/>
    <col min="42" max="42" width="28.26953125" style="159" hidden="1" customWidth="1"/>
    <col min="43" max="43" width="25" style="159" hidden="1" customWidth="1"/>
    <col min="44" max="44" width="20.7265625" style="159" hidden="1" customWidth="1"/>
    <col min="45" max="45" width="23.1796875" style="11" hidden="1" customWidth="1"/>
    <col min="46" max="46" width="8.7265625" style="11" customWidth="1"/>
    <col min="47" max="47" width="9.1796875" style="11"/>
  </cols>
  <sheetData>
    <row r="2" spans="2:45" ht="18.649999999999999" customHeight="1" x14ac:dyDescent="0.35">
      <c r="B2" s="661" t="s">
        <v>455</v>
      </c>
      <c r="C2" s="662"/>
      <c r="D2" s="662"/>
      <c r="E2" s="662"/>
      <c r="F2" s="662"/>
      <c r="G2" s="662"/>
      <c r="H2" s="662"/>
      <c r="I2" s="662"/>
      <c r="J2" s="646" t="s">
        <v>1099</v>
      </c>
      <c r="K2" s="647"/>
      <c r="L2" s="647"/>
      <c r="M2" s="647"/>
      <c r="N2" s="647"/>
      <c r="O2" s="647"/>
      <c r="P2" s="647"/>
      <c r="Q2" s="647"/>
      <c r="R2" s="647"/>
      <c r="S2" s="648"/>
      <c r="T2" s="202"/>
      <c r="U2" s="202"/>
      <c r="V2" s="202"/>
      <c r="W2" s="202"/>
      <c r="X2" s="202"/>
      <c r="Y2" s="202"/>
      <c r="Z2" s="202"/>
      <c r="AA2" s="202"/>
      <c r="AB2" s="202"/>
      <c r="AC2" s="202"/>
    </row>
    <row r="3" spans="2:45" ht="30" customHeight="1" x14ac:dyDescent="0.35">
      <c r="B3" s="655" t="s">
        <v>1100</v>
      </c>
      <c r="C3" s="656"/>
      <c r="D3" s="656"/>
      <c r="E3" s="656"/>
      <c r="F3" s="656"/>
      <c r="G3" s="656"/>
      <c r="H3" s="656"/>
      <c r="I3" s="656"/>
      <c r="J3" s="649"/>
      <c r="K3" s="650"/>
      <c r="L3" s="650"/>
      <c r="M3" s="650"/>
      <c r="N3" s="650"/>
      <c r="O3" s="650"/>
      <c r="P3" s="650"/>
      <c r="Q3" s="650"/>
      <c r="R3" s="650"/>
      <c r="S3" s="651"/>
      <c r="T3" s="202"/>
      <c r="U3" s="202"/>
      <c r="V3" s="202"/>
      <c r="W3" s="202"/>
      <c r="X3" s="202"/>
      <c r="Y3" s="202"/>
      <c r="Z3" s="202"/>
      <c r="AA3" s="202"/>
      <c r="AB3" s="202"/>
      <c r="AC3" s="202"/>
      <c r="AI3" s="102"/>
      <c r="AJ3" s="151" t="s">
        <v>460</v>
      </c>
      <c r="AK3" s="151" t="s">
        <v>668</v>
      </c>
      <c r="AL3" s="151" t="s">
        <v>503</v>
      </c>
      <c r="AM3" s="151" t="s">
        <v>504</v>
      </c>
      <c r="AN3" s="509" t="s">
        <v>1097</v>
      </c>
      <c r="AO3" s="151" t="s">
        <v>674</v>
      </c>
      <c r="AP3" s="151" t="s">
        <v>675</v>
      </c>
      <c r="AQ3" s="206"/>
      <c r="AR3" s="103"/>
    </row>
    <row r="4" spans="2:45" ht="25" customHeight="1" x14ac:dyDescent="0.35">
      <c r="B4" s="657"/>
      <c r="C4" s="658"/>
      <c r="D4" s="658"/>
      <c r="E4" s="658"/>
      <c r="F4" s="658"/>
      <c r="G4" s="658"/>
      <c r="H4" s="658"/>
      <c r="I4" s="658"/>
      <c r="J4" s="649"/>
      <c r="K4" s="650"/>
      <c r="L4" s="650"/>
      <c r="M4" s="650"/>
      <c r="N4" s="650"/>
      <c r="O4" s="650"/>
      <c r="P4" s="650"/>
      <c r="Q4" s="650"/>
      <c r="R4" s="650"/>
      <c r="S4" s="651"/>
      <c r="T4" s="202"/>
      <c r="U4" s="202"/>
      <c r="V4" s="202"/>
      <c r="W4" s="202"/>
      <c r="X4" s="202"/>
      <c r="Y4" s="202"/>
      <c r="Z4" s="202"/>
      <c r="AA4" s="202"/>
      <c r="AB4" s="202"/>
      <c r="AC4" s="202"/>
      <c r="AF4" s="165" t="s">
        <v>631</v>
      </c>
      <c r="AI4" s="633" t="s">
        <v>483</v>
      </c>
      <c r="AJ4" s="146" t="s">
        <v>200</v>
      </c>
      <c r="AK4" s="438">
        <v>0.66</v>
      </c>
      <c r="AL4" s="438">
        <v>7862</v>
      </c>
      <c r="AM4" s="438">
        <v>5950</v>
      </c>
      <c r="AN4" s="510">
        <v>0.68</v>
      </c>
      <c r="AO4" s="438">
        <v>1.3</v>
      </c>
      <c r="AP4" s="438">
        <v>1.1399999999999999</v>
      </c>
      <c r="AQ4" s="207"/>
      <c r="AR4" s="106"/>
    </row>
    <row r="5" spans="2:45" ht="25" customHeight="1" x14ac:dyDescent="0.35">
      <c r="B5" s="657"/>
      <c r="C5" s="658"/>
      <c r="D5" s="658"/>
      <c r="E5" s="658"/>
      <c r="F5" s="658"/>
      <c r="G5" s="658"/>
      <c r="H5" s="658"/>
      <c r="I5" s="658"/>
      <c r="J5" s="649"/>
      <c r="K5" s="650"/>
      <c r="L5" s="650"/>
      <c r="M5" s="650"/>
      <c r="N5" s="650"/>
      <c r="O5" s="650"/>
      <c r="P5" s="650"/>
      <c r="Q5" s="650"/>
      <c r="R5" s="650"/>
      <c r="S5" s="651"/>
      <c r="T5" s="202"/>
      <c r="U5" s="202"/>
      <c r="V5" s="202"/>
      <c r="W5" s="202"/>
      <c r="X5" s="202"/>
      <c r="Y5" s="202"/>
      <c r="Z5" s="202"/>
      <c r="AA5" s="202"/>
      <c r="AB5" s="202"/>
      <c r="AC5" s="202"/>
      <c r="AF5" s="166" t="s">
        <v>483</v>
      </c>
      <c r="AI5" s="634"/>
      <c r="AJ5" s="146" t="s">
        <v>506</v>
      </c>
      <c r="AK5" s="442">
        <v>0.97</v>
      </c>
      <c r="AL5" s="443">
        <v>4099</v>
      </c>
      <c r="AM5" s="443">
        <v>2935</v>
      </c>
      <c r="AN5" s="443">
        <v>0.75</v>
      </c>
      <c r="AO5" s="439">
        <v>1.24</v>
      </c>
      <c r="AP5" s="442">
        <v>1.1599999999999999</v>
      </c>
      <c r="AQ5" s="207"/>
      <c r="AR5" s="106"/>
    </row>
    <row r="6" spans="2:45" ht="25" customHeight="1" x14ac:dyDescent="0.35">
      <c r="B6" s="657"/>
      <c r="C6" s="658"/>
      <c r="D6" s="658"/>
      <c r="E6" s="658"/>
      <c r="F6" s="658"/>
      <c r="G6" s="658"/>
      <c r="H6" s="658"/>
      <c r="I6" s="658"/>
      <c r="J6" s="649"/>
      <c r="K6" s="650"/>
      <c r="L6" s="650"/>
      <c r="M6" s="650"/>
      <c r="N6" s="650"/>
      <c r="O6" s="650"/>
      <c r="P6" s="650"/>
      <c r="Q6" s="650"/>
      <c r="R6" s="650"/>
      <c r="S6" s="651"/>
      <c r="T6" s="202"/>
      <c r="U6" s="202"/>
      <c r="V6" s="202"/>
      <c r="W6" s="202"/>
      <c r="X6" s="202"/>
      <c r="Y6" s="202"/>
      <c r="Z6" s="202"/>
      <c r="AA6" s="202"/>
      <c r="AB6" s="202"/>
      <c r="AC6" s="202"/>
      <c r="AF6" s="167" t="s">
        <v>473</v>
      </c>
      <c r="AI6" s="634"/>
      <c r="AJ6" s="146" t="s">
        <v>133</v>
      </c>
      <c r="AK6" s="438">
        <v>0.63</v>
      </c>
      <c r="AL6" s="441">
        <v>3395</v>
      </c>
      <c r="AM6" s="441">
        <v>2588</v>
      </c>
      <c r="AN6" s="441">
        <v>0.72</v>
      </c>
      <c r="AO6" s="438">
        <v>1.54</v>
      </c>
      <c r="AP6" s="438">
        <v>1.02</v>
      </c>
      <c r="AQ6" s="207"/>
      <c r="AR6" s="106"/>
    </row>
    <row r="7" spans="2:45" ht="25" customHeight="1" x14ac:dyDescent="0.35">
      <c r="B7" s="657"/>
      <c r="C7" s="658"/>
      <c r="D7" s="658"/>
      <c r="E7" s="658"/>
      <c r="F7" s="658"/>
      <c r="G7" s="658"/>
      <c r="H7" s="658"/>
      <c r="I7" s="658"/>
      <c r="J7" s="649"/>
      <c r="K7" s="650"/>
      <c r="L7" s="650"/>
      <c r="M7" s="650"/>
      <c r="N7" s="650"/>
      <c r="O7" s="650"/>
      <c r="P7" s="650"/>
      <c r="Q7" s="650"/>
      <c r="R7" s="650"/>
      <c r="S7" s="651"/>
      <c r="T7" s="202"/>
      <c r="U7" s="202"/>
      <c r="V7" s="202"/>
      <c r="W7" s="202"/>
      <c r="X7" s="202"/>
      <c r="Y7" s="202"/>
      <c r="Z7" s="202"/>
      <c r="AA7" s="202"/>
      <c r="AB7" s="202"/>
      <c r="AC7" s="202"/>
      <c r="AI7" s="634"/>
      <c r="AJ7" s="146" t="s">
        <v>202</v>
      </c>
      <c r="AK7" s="442">
        <v>0.76</v>
      </c>
      <c r="AL7" s="442">
        <v>4672</v>
      </c>
      <c r="AM7" s="442">
        <v>3650</v>
      </c>
      <c r="AN7" s="442">
        <v>0.84</v>
      </c>
      <c r="AO7" s="442">
        <v>1.26</v>
      </c>
      <c r="AP7" s="442">
        <v>1.0900000000000001</v>
      </c>
      <c r="AQ7" s="207"/>
      <c r="AR7" s="106"/>
    </row>
    <row r="8" spans="2:45" ht="25" customHeight="1" x14ac:dyDescent="0.35">
      <c r="B8" s="657"/>
      <c r="C8" s="658"/>
      <c r="D8" s="658"/>
      <c r="E8" s="658"/>
      <c r="F8" s="658"/>
      <c r="G8" s="658"/>
      <c r="H8" s="658"/>
      <c r="I8" s="658"/>
      <c r="J8" s="649"/>
      <c r="K8" s="650"/>
      <c r="L8" s="650"/>
      <c r="M8" s="650"/>
      <c r="N8" s="650"/>
      <c r="O8" s="650"/>
      <c r="P8" s="650"/>
      <c r="Q8" s="650"/>
      <c r="R8" s="650"/>
      <c r="S8" s="651"/>
      <c r="T8" s="202"/>
      <c r="U8" s="202"/>
      <c r="V8" s="202"/>
      <c r="W8" s="202"/>
      <c r="X8" s="202"/>
      <c r="Y8" s="202"/>
      <c r="Z8" s="202"/>
      <c r="AA8" s="202"/>
      <c r="AB8" s="202"/>
      <c r="AC8" s="202"/>
      <c r="AI8" s="634"/>
      <c r="AJ8" s="146" t="s">
        <v>509</v>
      </c>
      <c r="AK8" s="121">
        <v>0.94</v>
      </c>
      <c r="AL8" s="148">
        <v>4099</v>
      </c>
      <c r="AM8" s="147">
        <v>2935</v>
      </c>
      <c r="AN8" s="441">
        <v>0.64</v>
      </c>
      <c r="AO8" s="121">
        <v>1.06</v>
      </c>
      <c r="AP8" s="121">
        <v>1.06</v>
      </c>
      <c r="AQ8" s="207"/>
      <c r="AR8" s="106"/>
      <c r="AS8" s="104"/>
    </row>
    <row r="9" spans="2:45" ht="25" customHeight="1" x14ac:dyDescent="0.35">
      <c r="B9" s="657"/>
      <c r="C9" s="658"/>
      <c r="D9" s="658"/>
      <c r="E9" s="658"/>
      <c r="F9" s="658"/>
      <c r="G9" s="658"/>
      <c r="H9" s="658"/>
      <c r="I9" s="658"/>
      <c r="J9" s="649"/>
      <c r="K9" s="650"/>
      <c r="L9" s="650"/>
      <c r="M9" s="650"/>
      <c r="N9" s="650"/>
      <c r="O9" s="650"/>
      <c r="P9" s="650"/>
      <c r="Q9" s="650"/>
      <c r="R9" s="650"/>
      <c r="S9" s="651"/>
      <c r="T9" s="202"/>
      <c r="U9" s="202"/>
      <c r="V9" s="202"/>
      <c r="W9" s="202"/>
      <c r="X9" s="202"/>
      <c r="Y9" s="202"/>
      <c r="Z9" s="202"/>
      <c r="AA9" s="202"/>
      <c r="AB9" s="202"/>
      <c r="AC9" s="202"/>
      <c r="AF9" s="165" t="s">
        <v>461</v>
      </c>
      <c r="AI9" s="634"/>
      <c r="AJ9" s="146" t="s">
        <v>510</v>
      </c>
      <c r="AK9" s="121">
        <v>0.52</v>
      </c>
      <c r="AL9" s="147">
        <v>2698</v>
      </c>
      <c r="AM9" s="147">
        <v>3088</v>
      </c>
      <c r="AN9" s="442">
        <v>0.79</v>
      </c>
      <c r="AO9" s="121">
        <v>1.26</v>
      </c>
      <c r="AP9" s="121">
        <v>1.1000000000000001</v>
      </c>
      <c r="AQ9" s="207"/>
      <c r="AR9" s="106"/>
      <c r="AS9" s="104"/>
    </row>
    <row r="10" spans="2:45" ht="25" customHeight="1" x14ac:dyDescent="0.35">
      <c r="B10" s="657"/>
      <c r="C10" s="658"/>
      <c r="D10" s="658"/>
      <c r="E10" s="658"/>
      <c r="F10" s="658"/>
      <c r="G10" s="658"/>
      <c r="H10" s="658"/>
      <c r="I10" s="658"/>
      <c r="J10" s="649"/>
      <c r="K10" s="650"/>
      <c r="L10" s="650"/>
      <c r="M10" s="650"/>
      <c r="N10" s="650"/>
      <c r="O10" s="650"/>
      <c r="P10" s="650"/>
      <c r="Q10" s="650"/>
      <c r="R10" s="650"/>
      <c r="S10" s="651"/>
      <c r="T10" s="202"/>
      <c r="U10" s="202"/>
      <c r="V10" s="202"/>
      <c r="W10" s="202"/>
      <c r="X10" s="202"/>
      <c r="Y10" s="202"/>
      <c r="Z10" s="202"/>
      <c r="AA10" s="202"/>
      <c r="AB10" s="202"/>
      <c r="AC10" s="202"/>
      <c r="AF10" s="166" t="s">
        <v>632</v>
      </c>
      <c r="AI10" s="634"/>
      <c r="AJ10" s="146" t="s">
        <v>511</v>
      </c>
      <c r="AK10" s="442">
        <v>0.95</v>
      </c>
      <c r="AL10" s="147">
        <v>6205</v>
      </c>
      <c r="AM10" s="147">
        <v>6205</v>
      </c>
      <c r="AN10" s="511">
        <v>0.9</v>
      </c>
      <c r="AO10" s="121">
        <v>1</v>
      </c>
      <c r="AP10" s="121">
        <v>1</v>
      </c>
      <c r="AQ10" s="207"/>
      <c r="AR10" s="106"/>
      <c r="AS10" s="104"/>
    </row>
    <row r="11" spans="2:45" ht="25" customHeight="1" x14ac:dyDescent="0.35">
      <c r="B11" s="657"/>
      <c r="C11" s="658"/>
      <c r="D11" s="658"/>
      <c r="E11" s="658"/>
      <c r="F11" s="658"/>
      <c r="G11" s="658"/>
      <c r="H11" s="658"/>
      <c r="I11" s="658"/>
      <c r="J11" s="649"/>
      <c r="K11" s="650"/>
      <c r="L11" s="650"/>
      <c r="M11" s="650"/>
      <c r="N11" s="650"/>
      <c r="O11" s="650"/>
      <c r="P11" s="650"/>
      <c r="Q11" s="650"/>
      <c r="R11" s="650"/>
      <c r="S11" s="651"/>
      <c r="T11" s="202"/>
      <c r="U11" s="202"/>
      <c r="V11" s="202"/>
      <c r="W11" s="202"/>
      <c r="X11" s="202"/>
      <c r="Y11" s="202"/>
      <c r="Z11" s="202"/>
      <c r="AA11" s="202"/>
      <c r="AB11" s="202"/>
      <c r="AC11" s="202"/>
      <c r="AF11" s="167" t="s">
        <v>633</v>
      </c>
      <c r="AI11" s="634"/>
      <c r="AJ11" s="146" t="s">
        <v>138</v>
      </c>
      <c r="AK11" s="438">
        <v>0.65</v>
      </c>
      <c r="AL11" s="441">
        <v>3038</v>
      </c>
      <c r="AM11" s="441">
        <v>2118</v>
      </c>
      <c r="AN11" s="441">
        <v>0.72</v>
      </c>
      <c r="AO11" s="438">
        <v>1.51</v>
      </c>
      <c r="AP11" s="438">
        <v>1.04</v>
      </c>
      <c r="AQ11" s="207"/>
      <c r="AR11" s="106"/>
      <c r="AS11" s="104"/>
    </row>
    <row r="12" spans="2:45" ht="25" customHeight="1" x14ac:dyDescent="0.35">
      <c r="B12" s="657"/>
      <c r="C12" s="658"/>
      <c r="D12" s="658"/>
      <c r="E12" s="658"/>
      <c r="F12" s="658"/>
      <c r="G12" s="658"/>
      <c r="H12" s="658"/>
      <c r="I12" s="658"/>
      <c r="J12" s="649"/>
      <c r="K12" s="650"/>
      <c r="L12" s="650"/>
      <c r="M12" s="650"/>
      <c r="N12" s="650"/>
      <c r="O12" s="650"/>
      <c r="P12" s="650"/>
      <c r="Q12" s="650"/>
      <c r="R12" s="650"/>
      <c r="S12" s="651"/>
      <c r="T12" s="202"/>
      <c r="U12" s="202"/>
      <c r="V12" s="202"/>
      <c r="W12" s="202"/>
      <c r="X12" s="202"/>
      <c r="Y12" s="202"/>
      <c r="Z12" s="202"/>
      <c r="AA12" s="202"/>
      <c r="AB12" s="202"/>
      <c r="AC12" s="202"/>
      <c r="AF12" s="201" t="s">
        <v>647</v>
      </c>
      <c r="AI12" s="634"/>
      <c r="AJ12" s="146" t="s">
        <v>512</v>
      </c>
      <c r="AK12" s="121">
        <v>0.94</v>
      </c>
      <c r="AL12" s="148">
        <v>4099</v>
      </c>
      <c r="AM12" s="147">
        <v>2935</v>
      </c>
      <c r="AN12" s="443">
        <v>0.72</v>
      </c>
      <c r="AO12" s="121">
        <v>1.06</v>
      </c>
      <c r="AP12" s="121">
        <v>1.06</v>
      </c>
      <c r="AQ12" s="207"/>
      <c r="AR12" s="106"/>
      <c r="AS12" s="104"/>
    </row>
    <row r="13" spans="2:45" ht="19.5" customHeight="1" x14ac:dyDescent="0.35">
      <c r="B13" s="657"/>
      <c r="C13" s="658"/>
      <c r="D13" s="658"/>
      <c r="E13" s="658"/>
      <c r="F13" s="658"/>
      <c r="G13" s="658"/>
      <c r="H13" s="658"/>
      <c r="I13" s="658"/>
      <c r="J13" s="649"/>
      <c r="K13" s="650"/>
      <c r="L13" s="650"/>
      <c r="M13" s="650"/>
      <c r="N13" s="650"/>
      <c r="O13" s="650"/>
      <c r="P13" s="650"/>
      <c r="Q13" s="650"/>
      <c r="R13" s="650"/>
      <c r="S13" s="651"/>
      <c r="T13" s="202"/>
      <c r="U13" s="202"/>
      <c r="V13" s="202"/>
      <c r="W13" s="202"/>
      <c r="X13" s="202"/>
      <c r="Y13" s="202"/>
      <c r="Z13" s="202"/>
      <c r="AA13" s="202"/>
      <c r="AB13" s="202"/>
      <c r="AC13" s="202"/>
      <c r="AI13" s="634"/>
      <c r="AJ13" s="146" t="s">
        <v>513</v>
      </c>
      <c r="AK13" s="121">
        <v>0.66</v>
      </c>
      <c r="AL13" s="121">
        <v>7862</v>
      </c>
      <c r="AM13" s="121">
        <v>5950</v>
      </c>
      <c r="AN13" s="441">
        <v>0.56000000000000005</v>
      </c>
      <c r="AO13" s="121">
        <v>1.3</v>
      </c>
      <c r="AP13" s="121">
        <v>1.1399999999999999</v>
      </c>
      <c r="AQ13" s="207"/>
      <c r="AR13" s="106"/>
      <c r="AS13" s="104"/>
    </row>
    <row r="14" spans="2:45" ht="18" customHeight="1" x14ac:dyDescent="0.35">
      <c r="B14" s="657"/>
      <c r="C14" s="658"/>
      <c r="D14" s="658"/>
      <c r="E14" s="658"/>
      <c r="F14" s="658"/>
      <c r="G14" s="658"/>
      <c r="H14" s="658"/>
      <c r="I14" s="658"/>
      <c r="J14" s="649"/>
      <c r="K14" s="650"/>
      <c r="L14" s="650"/>
      <c r="M14" s="650"/>
      <c r="N14" s="650"/>
      <c r="O14" s="650"/>
      <c r="P14" s="650"/>
      <c r="Q14" s="650"/>
      <c r="R14" s="650"/>
      <c r="S14" s="651"/>
      <c r="T14" s="202"/>
      <c r="U14" s="202"/>
      <c r="V14" s="202"/>
      <c r="W14" s="202"/>
      <c r="X14" s="202"/>
      <c r="Y14" s="202"/>
      <c r="Z14" s="202"/>
      <c r="AA14" s="202"/>
      <c r="AB14" s="202"/>
      <c r="AC14" s="202"/>
      <c r="AI14" s="634"/>
      <c r="AJ14" s="146" t="s">
        <v>514</v>
      </c>
      <c r="AK14" s="442">
        <v>0.92</v>
      </c>
      <c r="AL14" s="443">
        <v>3401</v>
      </c>
      <c r="AM14" s="443">
        <v>3540</v>
      </c>
      <c r="AN14" s="443">
        <v>0.18</v>
      </c>
      <c r="AO14" s="442">
        <v>1</v>
      </c>
      <c r="AP14" s="442">
        <v>1</v>
      </c>
      <c r="AQ14" s="207"/>
      <c r="AR14" s="106"/>
      <c r="AS14" s="104"/>
    </row>
    <row r="15" spans="2:45" ht="19" customHeight="1" x14ac:dyDescent="0.35">
      <c r="B15" s="659"/>
      <c r="C15" s="660"/>
      <c r="D15" s="660"/>
      <c r="E15" s="660"/>
      <c r="F15" s="660"/>
      <c r="G15" s="660"/>
      <c r="H15" s="660"/>
      <c r="I15" s="660"/>
      <c r="J15" s="652"/>
      <c r="K15" s="653"/>
      <c r="L15" s="653"/>
      <c r="M15" s="653"/>
      <c r="N15" s="653"/>
      <c r="O15" s="653"/>
      <c r="P15" s="653"/>
      <c r="Q15" s="653"/>
      <c r="R15" s="653"/>
      <c r="S15" s="654"/>
      <c r="T15" s="202"/>
      <c r="U15" s="202"/>
      <c r="V15" s="202"/>
      <c r="W15" s="202"/>
      <c r="X15" s="202"/>
      <c r="Y15" s="202"/>
      <c r="Z15" s="202"/>
      <c r="AA15" s="202"/>
      <c r="AB15" s="202"/>
      <c r="AC15" s="202"/>
      <c r="AF15" s="214" t="s">
        <v>462</v>
      </c>
      <c r="AI15" s="634"/>
      <c r="AJ15" s="146" t="s">
        <v>515</v>
      </c>
      <c r="AK15" s="438">
        <v>1</v>
      </c>
      <c r="AL15" s="441">
        <v>8766</v>
      </c>
      <c r="AM15" s="441">
        <v>8766</v>
      </c>
      <c r="AN15" s="441">
        <v>0.18</v>
      </c>
      <c r="AO15" s="438">
        <v>1</v>
      </c>
      <c r="AP15" s="438">
        <v>1</v>
      </c>
      <c r="AQ15" s="207"/>
      <c r="AR15" s="106"/>
      <c r="AS15" s="104"/>
    </row>
    <row r="16" spans="2:45" ht="15.5" x14ac:dyDescent="0.35">
      <c r="C16" s="86"/>
      <c r="F16" s="3"/>
      <c r="G16" s="3"/>
      <c r="AF16" s="166" t="s">
        <v>505</v>
      </c>
      <c r="AI16" s="634"/>
      <c r="AJ16" s="146" t="s">
        <v>132</v>
      </c>
      <c r="AK16" s="442">
        <v>0.82</v>
      </c>
      <c r="AL16" s="443">
        <v>5468</v>
      </c>
      <c r="AM16" s="443">
        <v>3650</v>
      </c>
      <c r="AN16" s="442">
        <v>0.84</v>
      </c>
      <c r="AO16" s="442">
        <v>1.22</v>
      </c>
      <c r="AP16" s="442">
        <v>1.05</v>
      </c>
      <c r="AQ16" s="207"/>
      <c r="AR16" s="106"/>
      <c r="AS16" s="104"/>
    </row>
    <row r="17" spans="1:47" ht="15.5" x14ac:dyDescent="0.35">
      <c r="B17" s="663" t="s">
        <v>474</v>
      </c>
      <c r="C17" s="663"/>
      <c r="D17" s="663"/>
      <c r="E17" s="663"/>
      <c r="F17" s="663"/>
      <c r="G17" s="663"/>
      <c r="H17" s="663"/>
      <c r="I17" s="663"/>
      <c r="AF17" s="166" t="s">
        <v>507</v>
      </c>
      <c r="AI17" s="634"/>
      <c r="AJ17" s="146" t="s">
        <v>490</v>
      </c>
      <c r="AK17" s="121">
        <v>0.94</v>
      </c>
      <c r="AL17" s="148">
        <v>4099</v>
      </c>
      <c r="AM17" s="147">
        <v>2935</v>
      </c>
      <c r="AN17" s="441">
        <v>0.76</v>
      </c>
      <c r="AO17" s="121">
        <v>1.06</v>
      </c>
      <c r="AP17" s="121">
        <v>1.06</v>
      </c>
      <c r="AQ17" s="207"/>
      <c r="AR17" s="106"/>
      <c r="AS17" s="104"/>
    </row>
    <row r="18" spans="1:47" ht="20.149999999999999" customHeight="1" x14ac:dyDescent="0.35">
      <c r="B18" s="63"/>
      <c r="C18" s="64" t="s">
        <v>477</v>
      </c>
      <c r="D18" s="668" t="s">
        <v>475</v>
      </c>
      <c r="E18" s="668"/>
      <c r="F18" s="668"/>
      <c r="G18" s="97"/>
      <c r="AF18" s="166" t="s">
        <v>463</v>
      </c>
      <c r="AI18" s="634"/>
      <c r="AJ18" s="146" t="s">
        <v>135</v>
      </c>
      <c r="AK18" s="442">
        <v>0.67</v>
      </c>
      <c r="AL18" s="443">
        <v>3890</v>
      </c>
      <c r="AM18" s="443">
        <v>4207</v>
      </c>
      <c r="AN18" s="443">
        <v>0.81</v>
      </c>
      <c r="AO18" s="442">
        <v>1.04</v>
      </c>
      <c r="AP18" s="442">
        <v>1.1399999999999999</v>
      </c>
      <c r="AQ18" s="207"/>
      <c r="AR18" s="106"/>
      <c r="AS18" s="104"/>
    </row>
    <row r="19" spans="1:47" ht="14.5" customHeight="1" x14ac:dyDescent="0.35">
      <c r="B19" s="63"/>
      <c r="C19" s="309"/>
      <c r="D19" s="675" t="s">
        <v>449</v>
      </c>
      <c r="E19" s="675"/>
      <c r="F19" s="675"/>
      <c r="G19" s="675"/>
      <c r="H19" s="675"/>
      <c r="AF19" s="166" t="s">
        <v>508</v>
      </c>
      <c r="AI19" s="634"/>
      <c r="AJ19" s="146" t="s">
        <v>137</v>
      </c>
      <c r="AK19" s="438">
        <v>0.65</v>
      </c>
      <c r="AL19" s="441">
        <v>3038</v>
      </c>
      <c r="AM19" s="441">
        <v>2327</v>
      </c>
      <c r="AN19" s="441">
        <v>0.72</v>
      </c>
      <c r="AO19" s="438">
        <v>1.4</v>
      </c>
      <c r="AP19" s="438">
        <v>1.1499999999999999</v>
      </c>
      <c r="AQ19" s="207"/>
      <c r="AR19" s="106"/>
      <c r="AS19" s="104"/>
    </row>
    <row r="20" spans="1:47" ht="31.5" customHeight="1" x14ac:dyDescent="0.35">
      <c r="B20" s="63"/>
      <c r="C20" s="310"/>
      <c r="D20" s="672" t="s">
        <v>450</v>
      </c>
      <c r="E20" s="672"/>
      <c r="F20" s="672"/>
      <c r="G20" s="672"/>
      <c r="H20" s="672"/>
      <c r="AF20" s="166" t="s">
        <v>647</v>
      </c>
      <c r="AI20" s="634"/>
      <c r="AJ20" s="146" t="s">
        <v>136</v>
      </c>
      <c r="AK20" s="442">
        <v>0.56000000000000005</v>
      </c>
      <c r="AL20" s="443">
        <v>7616</v>
      </c>
      <c r="AM20" s="443">
        <v>4207</v>
      </c>
      <c r="AN20" s="442">
        <v>0.96</v>
      </c>
      <c r="AO20" s="442">
        <v>1.27</v>
      </c>
      <c r="AP20" s="442">
        <v>1.1399999999999999</v>
      </c>
      <c r="AQ20" s="207"/>
      <c r="AR20" s="106"/>
      <c r="AS20" s="104"/>
    </row>
    <row r="21" spans="1:47" ht="14.5" customHeight="1" x14ac:dyDescent="0.35">
      <c r="B21" s="63"/>
      <c r="C21" s="309"/>
      <c r="D21" s="672" t="s">
        <v>451</v>
      </c>
      <c r="E21" s="672"/>
      <c r="F21" s="672"/>
      <c r="G21" s="672"/>
      <c r="H21" s="672"/>
      <c r="J21" s="399">
        <f>LightingZone</f>
        <v>0</v>
      </c>
      <c r="AI21" s="634"/>
      <c r="AJ21" s="146" t="s">
        <v>516</v>
      </c>
      <c r="AK21" s="438">
        <v>0.85</v>
      </c>
      <c r="AL21" s="441">
        <v>6138</v>
      </c>
      <c r="AM21" s="441">
        <v>4542</v>
      </c>
      <c r="AN21" s="441">
        <v>0.56000000000000005</v>
      </c>
      <c r="AO21" s="438">
        <v>1.26</v>
      </c>
      <c r="AP21" s="438">
        <v>1.0900000000000001</v>
      </c>
      <c r="AQ21" s="207"/>
      <c r="AR21" s="106"/>
      <c r="AS21" s="104"/>
    </row>
    <row r="22" spans="1:47" ht="28.5" customHeight="1" x14ac:dyDescent="0.35">
      <c r="B22" s="63"/>
      <c r="C22" s="309"/>
      <c r="D22" s="672" t="s">
        <v>452</v>
      </c>
      <c r="E22" s="672"/>
      <c r="F22" s="672"/>
      <c r="G22" s="672"/>
      <c r="H22" s="672"/>
      <c r="AF22" s="165" t="s">
        <v>682</v>
      </c>
      <c r="AI22" s="634"/>
      <c r="AJ22" s="146" t="s">
        <v>134</v>
      </c>
      <c r="AK22" s="442">
        <v>0.46</v>
      </c>
      <c r="AL22" s="443">
        <v>2390</v>
      </c>
      <c r="AM22" s="443">
        <v>777</v>
      </c>
      <c r="AN22" s="442">
        <v>0.56000000000000005</v>
      </c>
      <c r="AO22" s="442">
        <v>1.21</v>
      </c>
      <c r="AP22" s="442">
        <v>1.17</v>
      </c>
      <c r="AQ22" s="207"/>
      <c r="AR22" s="106"/>
      <c r="AS22" s="104"/>
    </row>
    <row r="23" spans="1:47" ht="15.5" x14ac:dyDescent="0.35">
      <c r="C23" s="86"/>
      <c r="F23" s="3"/>
      <c r="G23" s="3"/>
      <c r="AF23" s="167" t="str">
        <f>"ft"&amp;CHAR(178)</f>
        <v>ft²</v>
      </c>
      <c r="AI23" s="634"/>
      <c r="AJ23" s="146" t="s">
        <v>517</v>
      </c>
      <c r="AK23" s="121">
        <v>0.71</v>
      </c>
      <c r="AL23" s="147">
        <v>4093</v>
      </c>
      <c r="AM23" s="147">
        <v>2935</v>
      </c>
      <c r="AN23" s="441">
        <v>0.83</v>
      </c>
      <c r="AO23" s="121">
        <v>1.29</v>
      </c>
      <c r="AP23" s="121">
        <v>1.1200000000000001</v>
      </c>
      <c r="AQ23" s="207"/>
      <c r="AR23" s="106"/>
      <c r="AS23" s="105"/>
    </row>
    <row r="24" spans="1:47" ht="15.5" x14ac:dyDescent="0.35">
      <c r="B24" s="663" t="s">
        <v>478</v>
      </c>
      <c r="C24" s="663"/>
      <c r="D24" s="663"/>
      <c r="E24" s="663"/>
      <c r="F24" s="663"/>
      <c r="G24" s="663"/>
      <c r="H24" s="663"/>
      <c r="I24" s="663"/>
      <c r="AI24" s="634"/>
      <c r="AJ24" s="146" t="s">
        <v>518</v>
      </c>
      <c r="AK24" s="442">
        <v>0.81</v>
      </c>
      <c r="AL24" s="443">
        <v>4618</v>
      </c>
      <c r="AM24" s="443">
        <v>2629</v>
      </c>
      <c r="AN24" s="443">
        <v>0.82</v>
      </c>
      <c r="AO24" s="442">
        <v>1.04</v>
      </c>
      <c r="AP24" s="442">
        <v>1.02</v>
      </c>
      <c r="AQ24" s="207"/>
      <c r="AR24" s="106"/>
      <c r="AS24" s="105"/>
    </row>
    <row r="25" spans="1:47" ht="15.5" x14ac:dyDescent="0.35">
      <c r="B25" s="6" t="s">
        <v>482</v>
      </c>
      <c r="C25" s="86"/>
      <c r="F25" s="3"/>
      <c r="G25" s="3"/>
      <c r="AF25" s="165" t="s">
        <v>646</v>
      </c>
      <c r="AI25" s="634"/>
      <c r="AJ25" s="146" t="s">
        <v>519</v>
      </c>
      <c r="AK25" s="438">
        <v>0.67</v>
      </c>
      <c r="AL25" s="441">
        <v>3379</v>
      </c>
      <c r="AM25" s="441">
        <v>3612</v>
      </c>
      <c r="AN25" s="441" t="s">
        <v>520</v>
      </c>
      <c r="AO25" s="438">
        <v>1.3</v>
      </c>
      <c r="AP25" s="438">
        <v>1.08</v>
      </c>
      <c r="AQ25" s="207"/>
      <c r="AR25" s="106"/>
      <c r="AS25" s="104"/>
    </row>
    <row r="26" spans="1:47" ht="20.149999999999999" customHeight="1" thickBot="1" x14ac:dyDescent="0.4">
      <c r="C26" s="671" t="s">
        <v>479</v>
      </c>
      <c r="D26" s="671"/>
      <c r="F26" s="87" t="s">
        <v>480</v>
      </c>
      <c r="G26" s="87"/>
      <c r="AF26" s="166" t="s">
        <v>644</v>
      </c>
      <c r="AI26" s="634"/>
      <c r="AJ26" s="146" t="s">
        <v>521</v>
      </c>
      <c r="AK26" s="442">
        <v>0.53</v>
      </c>
      <c r="AL26" s="442">
        <v>3506</v>
      </c>
      <c r="AM26" s="442">
        <v>5475</v>
      </c>
      <c r="AN26" s="442">
        <v>0.44</v>
      </c>
      <c r="AO26" s="442">
        <v>1.38</v>
      </c>
      <c r="AP26" s="442">
        <v>1.1100000000000001</v>
      </c>
      <c r="AQ26" s="207"/>
      <c r="AR26" s="106"/>
      <c r="AS26" s="105"/>
    </row>
    <row r="27" spans="1:47" ht="30" customHeight="1" thickBot="1" x14ac:dyDescent="0.4">
      <c r="C27" s="669">
        <f>'PROJECT INFO'!B40</f>
        <v>0</v>
      </c>
      <c r="D27" s="670"/>
      <c r="E27" s="101" t="str">
        <f>IF(ROUND(C27,0)=ROUND(F27,0),"=","≠")</f>
        <v>=</v>
      </c>
      <c r="F27" s="93">
        <f>SUMIFS(J35:J234, K35:K234,"ft"&amp;CHAR(178), E35:E234,"Interior")</f>
        <v>0</v>
      </c>
      <c r="G27" s="677" t="str">
        <f>IF(ROUND(C27,0)=ROUND(F27,0),"BUILDING AREA CONSISTENT","BUILDING AREA INCONSISTENT, CHECK SQUARE FOOTAGES IN LIST BELOW AND ON PROJECT INFO TAB")</f>
        <v>BUILDING AREA CONSISTENT</v>
      </c>
      <c r="H27" s="678"/>
      <c r="I27" s="678"/>
      <c r="J27" s="678"/>
      <c r="AF27" s="166" t="s">
        <v>645</v>
      </c>
      <c r="AI27" s="634"/>
      <c r="AJ27" s="146" t="s">
        <v>522</v>
      </c>
      <c r="AK27" s="438">
        <v>0.62</v>
      </c>
      <c r="AL27" s="441">
        <v>5216</v>
      </c>
      <c r="AM27" s="441">
        <v>5950</v>
      </c>
      <c r="AN27" s="441">
        <v>0.45</v>
      </c>
      <c r="AO27" s="438">
        <v>1.1599999999999999</v>
      </c>
      <c r="AP27" s="438">
        <v>1.1100000000000001</v>
      </c>
      <c r="AQ27" s="207"/>
      <c r="AR27" s="106"/>
      <c r="AS27" s="105"/>
    </row>
    <row r="28" spans="1:47" ht="17.5" customHeight="1" x14ac:dyDescent="0.35">
      <c r="C28" s="86"/>
      <c r="E28" s="100"/>
      <c r="F28" s="3"/>
      <c r="G28" s="3"/>
      <c r="AF28" s="167" t="s">
        <v>470</v>
      </c>
      <c r="AI28" s="634"/>
      <c r="AJ28" s="146" t="s">
        <v>523</v>
      </c>
      <c r="AK28" s="121">
        <v>0.52</v>
      </c>
      <c r="AL28" s="147">
        <v>2698</v>
      </c>
      <c r="AM28" s="147">
        <v>3088</v>
      </c>
      <c r="AN28" s="442">
        <v>0.55000000000000004</v>
      </c>
      <c r="AO28" s="121">
        <v>1.26</v>
      </c>
      <c r="AP28" s="121">
        <v>1.1000000000000001</v>
      </c>
      <c r="AQ28" s="207"/>
      <c r="AR28" s="104"/>
      <c r="AS28" s="105"/>
    </row>
    <row r="29" spans="1:47" ht="16" thickBot="1" x14ac:dyDescent="0.4">
      <c r="B29" s="664" t="s">
        <v>481</v>
      </c>
      <c r="C29" s="664"/>
      <c r="D29" s="664"/>
      <c r="E29" s="664"/>
      <c r="F29" s="664"/>
      <c r="G29" s="664"/>
      <c r="H29" s="664"/>
      <c r="I29" s="664"/>
      <c r="AF29" s="167" t="s">
        <v>1022</v>
      </c>
      <c r="AI29" s="634"/>
      <c r="AJ29" s="146" t="s">
        <v>130</v>
      </c>
      <c r="AK29" s="438">
        <v>0.52</v>
      </c>
      <c r="AL29" s="441">
        <v>2698</v>
      </c>
      <c r="AM29" s="441">
        <v>3088</v>
      </c>
      <c r="AN29" s="441">
        <v>0.64</v>
      </c>
      <c r="AO29" s="438">
        <v>1.26</v>
      </c>
      <c r="AP29" s="438">
        <v>1.1000000000000001</v>
      </c>
      <c r="AQ29" s="207"/>
      <c r="AR29" s="106"/>
      <c r="AS29" s="105"/>
    </row>
    <row r="30" spans="1:47" s="94" customFormat="1" ht="35.15" customHeight="1" thickTop="1" thickBot="1" x14ac:dyDescent="0.45">
      <c r="A30" s="358"/>
      <c r="B30" s="665" t="s">
        <v>486</v>
      </c>
      <c r="C30" s="666"/>
      <c r="D30" s="666"/>
      <c r="E30" s="666"/>
      <c r="F30" s="666"/>
      <c r="G30" s="666"/>
      <c r="H30" s="666"/>
      <c r="I30" s="666"/>
      <c r="J30" s="666"/>
      <c r="K30" s="667"/>
      <c r="L30" s="665" t="s">
        <v>487</v>
      </c>
      <c r="M30" s="667"/>
      <c r="N30" s="665" t="s">
        <v>488</v>
      </c>
      <c r="O30" s="666"/>
      <c r="P30" s="666"/>
      <c r="Q30" s="666"/>
      <c r="R30" s="666"/>
      <c r="S30" s="667"/>
      <c r="T30" s="665" t="s">
        <v>666</v>
      </c>
      <c r="U30" s="666"/>
      <c r="V30" s="666"/>
      <c r="W30" s="666"/>
      <c r="X30" s="666"/>
      <c r="Y30" s="666"/>
      <c r="Z30" s="666"/>
      <c r="AA30" s="666"/>
      <c r="AB30" s="666"/>
      <c r="AC30" s="667"/>
      <c r="AD30" s="250" t="s">
        <v>489</v>
      </c>
      <c r="AG30" s="149"/>
      <c r="AH30" s="149"/>
      <c r="AI30" s="634"/>
      <c r="AJ30" s="146" t="s">
        <v>524</v>
      </c>
      <c r="AK30" s="121">
        <v>0.66</v>
      </c>
      <c r="AL30" s="121">
        <v>7862</v>
      </c>
      <c r="AM30" s="121">
        <v>5950</v>
      </c>
      <c r="AN30" s="443">
        <v>0.69</v>
      </c>
      <c r="AO30" s="121">
        <v>1.3</v>
      </c>
      <c r="AP30" s="121">
        <v>1.1399999999999999</v>
      </c>
      <c r="AQ30" s="207"/>
      <c r="AR30" s="106"/>
      <c r="AS30" s="105"/>
      <c r="AT30" s="149"/>
      <c r="AU30" s="149"/>
    </row>
    <row r="31" spans="1:47" s="243" customFormat="1" ht="44" thickTop="1" x14ac:dyDescent="0.35">
      <c r="A31" s="359"/>
      <c r="B31" s="239" t="s">
        <v>456</v>
      </c>
      <c r="C31" s="240" t="s">
        <v>457</v>
      </c>
      <c r="D31" s="241" t="s">
        <v>458</v>
      </c>
      <c r="E31" s="241" t="s">
        <v>459</v>
      </c>
      <c r="F31" s="673" t="s">
        <v>492</v>
      </c>
      <c r="G31" s="674"/>
      <c r="H31" s="241" t="s">
        <v>461</v>
      </c>
      <c r="I31" s="241" t="s">
        <v>462</v>
      </c>
      <c r="J31" s="673" t="s">
        <v>493</v>
      </c>
      <c r="K31" s="676"/>
      <c r="L31" s="239" t="s">
        <v>465</v>
      </c>
      <c r="M31" s="242" t="s">
        <v>663</v>
      </c>
      <c r="N31" s="239" t="s">
        <v>466</v>
      </c>
      <c r="O31" s="241" t="s">
        <v>467</v>
      </c>
      <c r="P31" s="241" t="s">
        <v>484</v>
      </c>
      <c r="Q31" s="241" t="s">
        <v>468</v>
      </c>
      <c r="R31" s="241" t="s">
        <v>469</v>
      </c>
      <c r="S31" s="242" t="s">
        <v>471</v>
      </c>
      <c r="T31" s="239" t="s">
        <v>671</v>
      </c>
      <c r="U31" s="241" t="s">
        <v>672</v>
      </c>
      <c r="V31" s="241" t="s">
        <v>668</v>
      </c>
      <c r="W31" s="241" t="s">
        <v>669</v>
      </c>
      <c r="X31" s="241" t="s">
        <v>670</v>
      </c>
      <c r="Y31" s="241" t="s">
        <v>677</v>
      </c>
      <c r="Z31" s="241" t="s">
        <v>676</v>
      </c>
      <c r="AA31" s="241" t="s">
        <v>667</v>
      </c>
      <c r="AB31" s="241" t="s">
        <v>673</v>
      </c>
      <c r="AC31" s="241" t="s">
        <v>679</v>
      </c>
      <c r="AD31" s="249" t="s">
        <v>472</v>
      </c>
      <c r="AF31" s="244" t="s">
        <v>706</v>
      </c>
      <c r="AG31" s="245" t="s">
        <v>678</v>
      </c>
      <c r="AH31" s="246"/>
      <c r="AI31" s="634"/>
      <c r="AJ31" s="146" t="s">
        <v>525</v>
      </c>
      <c r="AK31" s="121">
        <v>0.53</v>
      </c>
      <c r="AL31" s="121">
        <v>3506</v>
      </c>
      <c r="AM31" s="121">
        <v>5475</v>
      </c>
      <c r="AN31" s="441">
        <v>0.84</v>
      </c>
      <c r="AO31" s="121">
        <v>1.38</v>
      </c>
      <c r="AP31" s="121">
        <v>1.1100000000000001</v>
      </c>
      <c r="AQ31" s="207"/>
      <c r="AR31" s="247"/>
      <c r="AS31" s="248"/>
      <c r="AT31" s="246"/>
      <c r="AU31" s="246"/>
    </row>
    <row r="32" spans="1:47" ht="15.5" x14ac:dyDescent="0.35">
      <c r="B32" s="95" t="s">
        <v>453</v>
      </c>
      <c r="C32" s="190" t="s">
        <v>653</v>
      </c>
      <c r="D32" s="191">
        <v>1</v>
      </c>
      <c r="E32" s="191" t="s">
        <v>483</v>
      </c>
      <c r="F32" s="642" t="s">
        <v>534</v>
      </c>
      <c r="G32" s="643"/>
      <c r="H32" s="190" t="s">
        <v>632</v>
      </c>
      <c r="I32" s="190" t="s">
        <v>505</v>
      </c>
      <c r="J32" s="192">
        <v>6250</v>
      </c>
      <c r="K32" s="193" t="str">
        <f>sqft</f>
        <v>ft²</v>
      </c>
      <c r="L32" s="194">
        <v>1.06</v>
      </c>
      <c r="M32" s="237">
        <f>IFERROR(L32*J32/1000,"")</f>
        <v>6.625</v>
      </c>
      <c r="N32" s="194">
        <v>72</v>
      </c>
      <c r="O32" s="191" t="s">
        <v>230</v>
      </c>
      <c r="P32" s="196">
        <v>35</v>
      </c>
      <c r="Q32" s="196">
        <f>IFERROR(P32*N32/1000,"")</f>
        <v>2.52</v>
      </c>
      <c r="R32" s="196" t="s">
        <v>470</v>
      </c>
      <c r="S32" s="238">
        <v>12</v>
      </c>
      <c r="T32" s="194"/>
      <c r="U32" s="196"/>
      <c r="V32" s="196"/>
      <c r="W32" s="196"/>
      <c r="X32" s="196"/>
      <c r="Y32" s="196"/>
      <c r="Z32" s="196"/>
      <c r="AA32" s="196"/>
      <c r="AB32" s="196"/>
      <c r="AC32" s="196"/>
      <c r="AD32" s="315"/>
      <c r="AF32" s="212" t="s">
        <v>1029</v>
      </c>
      <c r="AG32" s="455">
        <v>0</v>
      </c>
      <c r="AI32" s="634"/>
      <c r="AJ32" s="146" t="s">
        <v>526</v>
      </c>
      <c r="AK32" s="121">
        <v>0.66</v>
      </c>
      <c r="AL32" s="121">
        <v>7862</v>
      </c>
      <c r="AM32" s="121">
        <v>5950</v>
      </c>
      <c r="AN32" s="442">
        <v>0.66</v>
      </c>
      <c r="AO32" s="121">
        <v>1.3</v>
      </c>
      <c r="AP32" s="121">
        <v>1.1399999999999999</v>
      </c>
      <c r="AQ32" s="207"/>
      <c r="AR32" s="106"/>
      <c r="AS32" s="105"/>
    </row>
    <row r="33" spans="2:45" ht="15.5" x14ac:dyDescent="0.35">
      <c r="B33" s="95" t="s">
        <v>453</v>
      </c>
      <c r="C33" s="190" t="s">
        <v>652</v>
      </c>
      <c r="D33" s="191">
        <v>1</v>
      </c>
      <c r="E33" s="191" t="s">
        <v>483</v>
      </c>
      <c r="F33" s="642" t="s">
        <v>534</v>
      </c>
      <c r="G33" s="643"/>
      <c r="H33" s="190" t="s">
        <v>632</v>
      </c>
      <c r="I33" s="190" t="s">
        <v>505</v>
      </c>
      <c r="J33" s="192"/>
      <c r="K33" s="193" t="str">
        <f>sqft</f>
        <v>ft²</v>
      </c>
      <c r="L33" s="194">
        <v>1.06</v>
      </c>
      <c r="M33" s="195">
        <f>IFERROR(L33*J33/1000,"")</f>
        <v>0</v>
      </c>
      <c r="N33" s="194">
        <v>24</v>
      </c>
      <c r="O33" s="191" t="s">
        <v>237</v>
      </c>
      <c r="P33" s="196">
        <v>22</v>
      </c>
      <c r="Q33" s="196">
        <f>IFERROR(P33*N33/1000,"")</f>
        <v>0.52800000000000002</v>
      </c>
      <c r="R33" s="196" t="s">
        <v>644</v>
      </c>
      <c r="S33" s="238">
        <v>5</v>
      </c>
      <c r="T33" s="194"/>
      <c r="U33" s="196"/>
      <c r="V33" s="196"/>
      <c r="W33" s="196"/>
      <c r="X33" s="196"/>
      <c r="Y33" s="196"/>
      <c r="Z33" s="196"/>
      <c r="AA33" s="196"/>
      <c r="AB33" s="196"/>
      <c r="AC33" s="196"/>
      <c r="AD33" s="315"/>
      <c r="AF33" s="212" t="s">
        <v>1030</v>
      </c>
      <c r="AG33" s="204">
        <v>0</v>
      </c>
      <c r="AI33" s="634"/>
      <c r="AJ33" s="146" t="s">
        <v>527</v>
      </c>
      <c r="AK33" s="121">
        <v>0.52</v>
      </c>
      <c r="AL33" s="147">
        <v>2698</v>
      </c>
      <c r="AM33" s="147">
        <v>3088</v>
      </c>
      <c r="AN33" s="441">
        <v>0.65</v>
      </c>
      <c r="AO33" s="121">
        <v>1.26</v>
      </c>
      <c r="AP33" s="121">
        <v>1.1000000000000001</v>
      </c>
      <c r="AQ33" s="207"/>
      <c r="AR33" s="106"/>
      <c r="AS33" s="105"/>
    </row>
    <row r="34" spans="2:45" ht="15.5" x14ac:dyDescent="0.35">
      <c r="B34" s="95" t="s">
        <v>453</v>
      </c>
      <c r="C34" s="190" t="s">
        <v>648</v>
      </c>
      <c r="D34" s="191">
        <v>1</v>
      </c>
      <c r="E34" s="191" t="s">
        <v>473</v>
      </c>
      <c r="F34" s="642" t="s">
        <v>491</v>
      </c>
      <c r="G34" s="643"/>
      <c r="H34" s="190" t="str">
        <f>IF(E34="Exterior","N/A","")</f>
        <v>N/A</v>
      </c>
      <c r="I34" s="190" t="str">
        <f>IF(E34="Exterior","N/A","")</f>
        <v>N/A</v>
      </c>
      <c r="J34" s="192">
        <v>17800</v>
      </c>
      <c r="K34" s="193" t="str">
        <f>sqft</f>
        <v>ft²</v>
      </c>
      <c r="L34" s="194">
        <v>0.06</v>
      </c>
      <c r="M34" s="195">
        <f>IFERROR(L34*J34/1000,"")</f>
        <v>1.0680000000000001</v>
      </c>
      <c r="N34" s="194">
        <v>9</v>
      </c>
      <c r="O34" s="191" t="s">
        <v>234</v>
      </c>
      <c r="P34" s="196">
        <v>110</v>
      </c>
      <c r="Q34" s="196">
        <f>IFERROR(P34*N34/1000,"")</f>
        <v>0.99</v>
      </c>
      <c r="R34" s="196" t="s">
        <v>644</v>
      </c>
      <c r="S34" s="238">
        <v>9</v>
      </c>
      <c r="T34" s="194"/>
      <c r="U34" s="196"/>
      <c r="V34" s="196"/>
      <c r="W34" s="196"/>
      <c r="X34" s="196"/>
      <c r="Y34" s="196"/>
      <c r="Z34" s="196"/>
      <c r="AA34" s="196"/>
      <c r="AB34" s="196"/>
      <c r="AC34" s="196"/>
      <c r="AD34" s="315"/>
      <c r="AF34" s="211" t="s">
        <v>990</v>
      </c>
      <c r="AG34" s="204">
        <v>0.24</v>
      </c>
      <c r="AI34" s="634"/>
      <c r="AJ34" s="146" t="s">
        <v>528</v>
      </c>
      <c r="AK34" s="442">
        <v>0.72</v>
      </c>
      <c r="AL34" s="443">
        <v>2860</v>
      </c>
      <c r="AM34" s="443">
        <v>2860</v>
      </c>
      <c r="AN34" s="443">
        <v>0.72</v>
      </c>
      <c r="AO34" s="442">
        <v>1.29</v>
      </c>
      <c r="AP34" s="442">
        <v>1.17</v>
      </c>
      <c r="AQ34" s="207"/>
      <c r="AR34" s="106"/>
      <c r="AS34" s="105"/>
    </row>
    <row r="35" spans="2:45" ht="15.5" x14ac:dyDescent="0.35">
      <c r="B35" s="169">
        <v>1</v>
      </c>
      <c r="C35" s="304"/>
      <c r="D35" s="393"/>
      <c r="E35" s="393"/>
      <c r="F35" s="644"/>
      <c r="G35" s="645"/>
      <c r="H35" s="408"/>
      <c r="I35" s="408"/>
      <c r="J35" s="311"/>
      <c r="K35" s="409" t="str">
        <f t="shared" ref="K35:K66" si="0">IFERROR(IF(IntExt="Interior",sqft,VLOOKUP(SpaceType,ExteriorTable,9,FALSE)),"")</f>
        <v/>
      </c>
      <c r="L35" s="406" t="str">
        <f t="shared" ref="L35:L66" si="1">IF(ISBLANK(SpaceType),"",(IF(IntExt="Interior",VLOOKUP(SpaceType,InteriorTable,5,FALSE),IF(IntExt="Exterior",VLOOKUP(SpaceType,ExteriorTable,LightingZone+2,FALSE),"ERROR"))))</f>
        <v/>
      </c>
      <c r="M35" s="407" t="str">
        <f t="shared" ref="M35:M66" si="2">IFERROR(LPDb*AreaSize/1000,"")</f>
        <v/>
      </c>
      <c r="N35" s="312"/>
      <c r="O35" s="393"/>
      <c r="P35" s="411" t="str">
        <f t="shared" ref="P35:P66" si="3">IFERROR(VLOOKUP(FixtureNum,FixtureTable,5,FALSE),"")</f>
        <v/>
      </c>
      <c r="Q35" s="411" t="str">
        <f t="shared" ref="Q35:Q66" si="4">IFERROR(WperFixture*ProposedQty/1000,"")</f>
        <v/>
      </c>
      <c r="R35" s="313"/>
      <c r="S35" s="314"/>
      <c r="T35" s="215" t="str">
        <f t="shared" ref="T35:T66" si="5">IFERROR(IF(IntExt="Interior",kWbase-kWee,""),"")</f>
        <v/>
      </c>
      <c r="U35" s="216" t="str">
        <f t="shared" ref="U35:U66" si="6">IFERROR(IF(IntExt="Exterior",kWbase-kWee,""),"")</f>
        <v/>
      </c>
      <c r="V35" s="216" t="str">
        <f t="shared" ref="V35:V66" si="7">IFERROR(IF(IntExt="Exterior",0,VLOOKUP(SpaceType,InteriorTable,2,FALSE)),"")</f>
        <v/>
      </c>
      <c r="W35" s="216" t="str">
        <f t="shared" ref="W35:W66" si="8">IFERROR(IF(OR(IntExt="Exterior",Cooling="Not Cooled"),1,VLOOKUP(SpaceType,InteriorTable,6,FALSE)),"")</f>
        <v/>
      </c>
      <c r="X35" s="216" t="str">
        <f t="shared" ref="X35:X66" si="9">IFERROR(IF(OR(IntExt="Exterior",Cooling="Not Cooled"),1,VLOOKUP(SpaceType,InteriorTable,7,FALSE)),"")</f>
        <v/>
      </c>
      <c r="Y35" s="216" t="str">
        <f t="shared" ref="Y35:Y66" si="10">IF(ISBLANK(IntExt),"",IFERROR(VLOOKUP(SpaceType,ESFtable,2,FALSE), IF(IntExt="Interior",VLOOKUP("Interior|Occupancy",ESFtable,2,FALSE),VLOOKUP("Exterior|Setback",ESFtable,2,FALSE))))</f>
        <v/>
      </c>
      <c r="Z35" s="216" t="str">
        <f t="shared" ref="Z35:Z66" si="11">IFERROR(VLOOKUP(IntExt&amp;"|"&amp;PropControlType,ESFtable,2,FALSE),ESFb)</f>
        <v/>
      </c>
      <c r="AA35" s="216" t="str">
        <f t="shared" ref="AA35:AA66" si="12">IF(IntExt="Interior",VLOOKUP(SpaceType,InteriorTable,3,FALSE),IF(IntExt="Exterior",VLOOKUP(IntExt,InteriorTable,3,FALSE),""))</f>
        <v/>
      </c>
      <c r="AB35" s="217" t="str">
        <f>IFERROR((kWbase-kWee)*CF*WHFd,"")</f>
        <v/>
      </c>
      <c r="AC35" s="218" t="str">
        <f>IFERROR(EFLH_deemed*WHFe*(kWbase*(1-ESFb)-kWee*(1-ESFee)),"")</f>
        <v/>
      </c>
      <c r="AD35" s="316"/>
      <c r="AF35" s="211" t="s">
        <v>991</v>
      </c>
      <c r="AG35" s="204">
        <v>0.28000000000000003</v>
      </c>
      <c r="AI35" s="634"/>
      <c r="AJ35" s="146" t="s">
        <v>529</v>
      </c>
      <c r="AK35" s="438">
        <v>0.48</v>
      </c>
      <c r="AL35" s="438">
        <v>2085</v>
      </c>
      <c r="AM35" s="438">
        <v>1664</v>
      </c>
      <c r="AN35" s="441">
        <v>0.67</v>
      </c>
      <c r="AO35" s="438">
        <v>1.37</v>
      </c>
      <c r="AP35" s="438">
        <v>1.1200000000000001</v>
      </c>
      <c r="AQ35" s="207"/>
      <c r="AR35" s="106"/>
      <c r="AS35" s="105"/>
    </row>
    <row r="36" spans="2:45" ht="15.5" x14ac:dyDescent="0.35">
      <c r="B36" s="96">
        <v>2</v>
      </c>
      <c r="C36" s="304"/>
      <c r="D36" s="393"/>
      <c r="E36" s="393"/>
      <c r="F36" s="644"/>
      <c r="G36" s="645"/>
      <c r="H36" s="408" t="str">
        <f t="shared" ref="H36" si="13">IF(E36="Exterior","N/A","")</f>
        <v/>
      </c>
      <c r="I36" s="408" t="str">
        <f t="shared" ref="I36" si="14">IF(E36="Exterior","N/A","")</f>
        <v/>
      </c>
      <c r="J36" s="311"/>
      <c r="K36" s="409" t="str">
        <f t="shared" si="0"/>
        <v/>
      </c>
      <c r="L36" s="406" t="str">
        <f t="shared" si="1"/>
        <v/>
      </c>
      <c r="M36" s="407" t="str">
        <f t="shared" si="2"/>
        <v/>
      </c>
      <c r="N36" s="312"/>
      <c r="O36" s="393"/>
      <c r="P36" s="411" t="str">
        <f t="shared" si="3"/>
        <v/>
      </c>
      <c r="Q36" s="411" t="str">
        <f t="shared" si="4"/>
        <v/>
      </c>
      <c r="R36" s="313"/>
      <c r="S36" s="314"/>
      <c r="T36" s="215" t="str">
        <f t="shared" si="5"/>
        <v/>
      </c>
      <c r="U36" s="216" t="str">
        <f t="shared" si="6"/>
        <v/>
      </c>
      <c r="V36" s="216" t="str">
        <f t="shared" si="7"/>
        <v/>
      </c>
      <c r="W36" s="216" t="str">
        <f t="shared" si="8"/>
        <v/>
      </c>
      <c r="X36" s="216" t="str">
        <f t="shared" si="9"/>
        <v/>
      </c>
      <c r="Y36" s="216" t="str">
        <f t="shared" si="10"/>
        <v/>
      </c>
      <c r="Z36" s="216" t="str">
        <f t="shared" si="11"/>
        <v/>
      </c>
      <c r="AA36" s="216" t="str">
        <f t="shared" si="12"/>
        <v/>
      </c>
      <c r="AB36" s="217" t="str">
        <f t="shared" ref="AB36:AB66" si="15">IFERROR((kWbase-kWee)*CF*WHFd,"")</f>
        <v/>
      </c>
      <c r="AC36" s="218" t="str">
        <f t="shared" ref="AC36:AC66" si="16">IFERROR(EFLH_deemed*WHFe*(kWbase*(1-ESFb)-kWee*(1-ESFee)),"")</f>
        <v/>
      </c>
      <c r="AD36" s="317"/>
      <c r="AF36" s="211" t="s">
        <v>992</v>
      </c>
      <c r="AG36" s="204">
        <v>0.38</v>
      </c>
      <c r="AI36" s="634"/>
      <c r="AJ36" s="146" t="s">
        <v>530</v>
      </c>
      <c r="AK36" s="442">
        <v>1</v>
      </c>
      <c r="AL36" s="443">
        <v>5571</v>
      </c>
      <c r="AM36" s="443">
        <v>4784</v>
      </c>
      <c r="AN36" s="442">
        <v>0.8</v>
      </c>
      <c r="AO36" s="442">
        <v>1.1000000000000001</v>
      </c>
      <c r="AP36" s="442">
        <v>1.08</v>
      </c>
      <c r="AQ36" s="207"/>
      <c r="AR36" s="106"/>
      <c r="AS36" s="105"/>
    </row>
    <row r="37" spans="2:45" ht="15.5" x14ac:dyDescent="0.35">
      <c r="B37" s="96">
        <v>3</v>
      </c>
      <c r="C37" s="304"/>
      <c r="D37" s="393"/>
      <c r="E37" s="393"/>
      <c r="F37" s="644"/>
      <c r="G37" s="645"/>
      <c r="H37" s="408" t="str">
        <f t="shared" ref="H37:H43" si="17">IF(E37="Exterior","N/A","")</f>
        <v/>
      </c>
      <c r="I37" s="408" t="str">
        <f t="shared" ref="I37:I43" si="18">IF(E37="Exterior","N/A","")</f>
        <v/>
      </c>
      <c r="J37" s="311"/>
      <c r="K37" s="409" t="str">
        <f t="shared" si="0"/>
        <v/>
      </c>
      <c r="L37" s="410" t="str">
        <f t="shared" si="1"/>
        <v/>
      </c>
      <c r="M37" s="407" t="str">
        <f t="shared" si="2"/>
        <v/>
      </c>
      <c r="N37" s="312"/>
      <c r="O37" s="393"/>
      <c r="P37" s="411" t="str">
        <f t="shared" si="3"/>
        <v/>
      </c>
      <c r="Q37" s="411" t="str">
        <f t="shared" si="4"/>
        <v/>
      </c>
      <c r="R37" s="313"/>
      <c r="S37" s="314"/>
      <c r="T37" s="215" t="str">
        <f t="shared" si="5"/>
        <v/>
      </c>
      <c r="U37" s="216" t="str">
        <f t="shared" si="6"/>
        <v/>
      </c>
      <c r="V37" s="216" t="str">
        <f t="shared" si="7"/>
        <v/>
      </c>
      <c r="W37" s="216" t="str">
        <f t="shared" si="8"/>
        <v/>
      </c>
      <c r="X37" s="216" t="str">
        <f t="shared" si="9"/>
        <v/>
      </c>
      <c r="Y37" s="216" t="str">
        <f t="shared" si="10"/>
        <v/>
      </c>
      <c r="Z37" s="216" t="str">
        <f t="shared" si="11"/>
        <v/>
      </c>
      <c r="AA37" s="216" t="str">
        <f t="shared" si="12"/>
        <v/>
      </c>
      <c r="AB37" s="217" t="str">
        <f t="shared" si="15"/>
        <v/>
      </c>
      <c r="AC37" s="218" t="str">
        <f t="shared" si="16"/>
        <v/>
      </c>
      <c r="AD37" s="317"/>
      <c r="AF37" s="213" t="s">
        <v>989</v>
      </c>
      <c r="AG37" s="205">
        <v>0.25</v>
      </c>
      <c r="AI37" s="634"/>
      <c r="AJ37" s="146" t="s">
        <v>531</v>
      </c>
      <c r="AK37" s="438">
        <v>1</v>
      </c>
      <c r="AL37" s="441">
        <v>5571</v>
      </c>
      <c r="AM37" s="441">
        <v>4784</v>
      </c>
      <c r="AN37" s="441">
        <v>0.76</v>
      </c>
      <c r="AO37" s="438">
        <v>1.1000000000000001</v>
      </c>
      <c r="AP37" s="438">
        <v>1.08</v>
      </c>
      <c r="AQ37" s="207"/>
      <c r="AR37" s="106"/>
      <c r="AS37" s="105"/>
    </row>
    <row r="38" spans="2:45" ht="15.5" x14ac:dyDescent="0.35">
      <c r="B38" s="96">
        <v>4</v>
      </c>
      <c r="C38" s="304"/>
      <c r="D38" s="393"/>
      <c r="E38" s="393"/>
      <c r="F38" s="644"/>
      <c r="G38" s="645"/>
      <c r="H38" s="408" t="str">
        <f t="shared" si="17"/>
        <v/>
      </c>
      <c r="I38" s="408" t="str">
        <f t="shared" si="18"/>
        <v/>
      </c>
      <c r="J38" s="311"/>
      <c r="K38" s="409" t="str">
        <f t="shared" si="0"/>
        <v/>
      </c>
      <c r="L38" s="410" t="str">
        <f t="shared" si="1"/>
        <v/>
      </c>
      <c r="M38" s="407" t="str">
        <f t="shared" si="2"/>
        <v/>
      </c>
      <c r="N38" s="312"/>
      <c r="O38" s="393"/>
      <c r="P38" s="411" t="str">
        <f t="shared" si="3"/>
        <v/>
      </c>
      <c r="Q38" s="411" t="str">
        <f t="shared" si="4"/>
        <v/>
      </c>
      <c r="R38" s="313"/>
      <c r="S38" s="314"/>
      <c r="T38" s="215" t="str">
        <f t="shared" si="5"/>
        <v/>
      </c>
      <c r="U38" s="216" t="str">
        <f t="shared" si="6"/>
        <v/>
      </c>
      <c r="V38" s="216" t="str">
        <f t="shared" si="7"/>
        <v/>
      </c>
      <c r="W38" s="216" t="str">
        <f t="shared" si="8"/>
        <v/>
      </c>
      <c r="X38" s="216" t="str">
        <f t="shared" si="9"/>
        <v/>
      </c>
      <c r="Y38" s="216" t="str">
        <f t="shared" si="10"/>
        <v/>
      </c>
      <c r="Z38" s="216" t="str">
        <f t="shared" si="11"/>
        <v/>
      </c>
      <c r="AA38" s="216" t="str">
        <f t="shared" si="12"/>
        <v/>
      </c>
      <c r="AB38" s="217" t="str">
        <f t="shared" si="15"/>
        <v/>
      </c>
      <c r="AC38" s="218" t="str">
        <f t="shared" si="16"/>
        <v/>
      </c>
      <c r="AD38" s="317"/>
      <c r="AF38" s="213" t="s">
        <v>988</v>
      </c>
      <c r="AG38" s="205">
        <v>0.41</v>
      </c>
      <c r="AI38" s="634"/>
      <c r="AJ38" s="146" t="s">
        <v>532</v>
      </c>
      <c r="AK38" s="442">
        <v>1</v>
      </c>
      <c r="AL38" s="443">
        <v>5571</v>
      </c>
      <c r="AM38" s="443">
        <v>4784</v>
      </c>
      <c r="AN38" s="443">
        <v>0.71</v>
      </c>
      <c r="AO38" s="442">
        <v>1.1000000000000001</v>
      </c>
      <c r="AP38" s="442">
        <v>1.08</v>
      </c>
      <c r="AQ38" s="207"/>
      <c r="AR38" s="106"/>
      <c r="AS38" s="105"/>
    </row>
    <row r="39" spans="2:45" ht="15.5" x14ac:dyDescent="0.35">
      <c r="B39" s="96">
        <v>5</v>
      </c>
      <c r="C39" s="304"/>
      <c r="D39" s="302"/>
      <c r="E39" s="302"/>
      <c r="F39" s="644"/>
      <c r="G39" s="645"/>
      <c r="H39" s="408" t="str">
        <f t="shared" si="17"/>
        <v/>
      </c>
      <c r="I39" s="408" t="str">
        <f t="shared" si="18"/>
        <v/>
      </c>
      <c r="J39" s="311"/>
      <c r="K39" s="409" t="str">
        <f t="shared" si="0"/>
        <v/>
      </c>
      <c r="L39" s="406" t="str">
        <f t="shared" si="1"/>
        <v/>
      </c>
      <c r="M39" s="407" t="str">
        <f t="shared" si="2"/>
        <v/>
      </c>
      <c r="N39" s="312"/>
      <c r="O39" s="302"/>
      <c r="P39" s="411" t="str">
        <f t="shared" si="3"/>
        <v/>
      </c>
      <c r="Q39" s="411" t="str">
        <f t="shared" si="4"/>
        <v/>
      </c>
      <c r="R39" s="313"/>
      <c r="S39" s="314"/>
      <c r="T39" s="215" t="str">
        <f t="shared" si="5"/>
        <v/>
      </c>
      <c r="U39" s="216" t="str">
        <f t="shared" si="6"/>
        <v/>
      </c>
      <c r="V39" s="216" t="str">
        <f t="shared" si="7"/>
        <v/>
      </c>
      <c r="W39" s="216" t="str">
        <f t="shared" si="8"/>
        <v/>
      </c>
      <c r="X39" s="216" t="str">
        <f t="shared" si="9"/>
        <v/>
      </c>
      <c r="Y39" s="216" t="str">
        <f t="shared" si="10"/>
        <v/>
      </c>
      <c r="Z39" s="216" t="str">
        <f t="shared" si="11"/>
        <v/>
      </c>
      <c r="AA39" s="216" t="str">
        <f t="shared" si="12"/>
        <v/>
      </c>
      <c r="AB39" s="217" t="str">
        <f t="shared" si="15"/>
        <v/>
      </c>
      <c r="AC39" s="218" t="str">
        <f t="shared" si="16"/>
        <v/>
      </c>
      <c r="AD39" s="317"/>
      <c r="AF39" s="211" t="s">
        <v>993</v>
      </c>
      <c r="AG39" s="205">
        <v>0.25</v>
      </c>
      <c r="AI39" s="634"/>
      <c r="AJ39" s="146" t="s">
        <v>533</v>
      </c>
      <c r="AK39" s="438">
        <v>0.94</v>
      </c>
      <c r="AL39" s="444">
        <v>4099</v>
      </c>
      <c r="AM39" s="441">
        <v>2935</v>
      </c>
      <c r="AN39" s="441">
        <v>0.84</v>
      </c>
      <c r="AO39" s="438">
        <v>1.06</v>
      </c>
      <c r="AP39" s="438">
        <v>1.06</v>
      </c>
      <c r="AQ39" s="207"/>
      <c r="AR39" s="106"/>
      <c r="AS39" s="105"/>
    </row>
    <row r="40" spans="2:45" ht="15.5" x14ac:dyDescent="0.35">
      <c r="B40" s="96">
        <v>6</v>
      </c>
      <c r="C40" s="304"/>
      <c r="D40" s="302"/>
      <c r="E40" s="393"/>
      <c r="F40" s="644"/>
      <c r="G40" s="645"/>
      <c r="H40" s="408" t="str">
        <f t="shared" si="17"/>
        <v/>
      </c>
      <c r="I40" s="408" t="str">
        <f t="shared" si="18"/>
        <v/>
      </c>
      <c r="J40" s="311"/>
      <c r="K40" s="409" t="str">
        <f t="shared" si="0"/>
        <v/>
      </c>
      <c r="L40" s="406" t="str">
        <f t="shared" si="1"/>
        <v/>
      </c>
      <c r="M40" s="407" t="str">
        <f t="shared" si="2"/>
        <v/>
      </c>
      <c r="N40" s="312"/>
      <c r="O40" s="302"/>
      <c r="P40" s="411" t="str">
        <f t="shared" si="3"/>
        <v/>
      </c>
      <c r="Q40" s="411" t="str">
        <f t="shared" si="4"/>
        <v/>
      </c>
      <c r="R40" s="313"/>
      <c r="S40" s="314"/>
      <c r="T40" s="215" t="str">
        <f t="shared" si="5"/>
        <v/>
      </c>
      <c r="U40" s="216" t="str">
        <f t="shared" si="6"/>
        <v/>
      </c>
      <c r="V40" s="216" t="str">
        <f t="shared" si="7"/>
        <v/>
      </c>
      <c r="W40" s="216" t="str">
        <f t="shared" si="8"/>
        <v/>
      </c>
      <c r="X40" s="216" t="str">
        <f t="shared" si="9"/>
        <v/>
      </c>
      <c r="Y40" s="216" t="str">
        <f t="shared" si="10"/>
        <v/>
      </c>
      <c r="Z40" s="216" t="str">
        <f t="shared" si="11"/>
        <v/>
      </c>
      <c r="AA40" s="216" t="str">
        <f t="shared" si="12"/>
        <v/>
      </c>
      <c r="AB40" s="217" t="str">
        <f t="shared" si="15"/>
        <v/>
      </c>
      <c r="AC40" s="218" t="str">
        <f t="shared" si="16"/>
        <v/>
      </c>
      <c r="AD40" s="317"/>
      <c r="AF40" s="211" t="s">
        <v>994</v>
      </c>
      <c r="AG40" s="205">
        <v>0.41</v>
      </c>
      <c r="AI40" s="634"/>
      <c r="AJ40" s="146" t="s">
        <v>534</v>
      </c>
      <c r="AK40" s="442">
        <v>0.71</v>
      </c>
      <c r="AL40" s="443">
        <v>4093</v>
      </c>
      <c r="AM40" s="443">
        <v>2935</v>
      </c>
      <c r="AN40" s="442">
        <v>0.84</v>
      </c>
      <c r="AO40" s="442">
        <v>1.29</v>
      </c>
      <c r="AP40" s="442">
        <v>1.1200000000000001</v>
      </c>
      <c r="AQ40" s="207"/>
      <c r="AR40" s="106"/>
      <c r="AS40" s="105"/>
    </row>
    <row r="41" spans="2:45" ht="15.5" x14ac:dyDescent="0.35">
      <c r="B41" s="96">
        <v>7</v>
      </c>
      <c r="C41" s="304"/>
      <c r="D41" s="302"/>
      <c r="E41" s="302"/>
      <c r="F41" s="644"/>
      <c r="G41" s="645"/>
      <c r="H41" s="408" t="str">
        <f t="shared" si="17"/>
        <v/>
      </c>
      <c r="I41" s="408" t="str">
        <f t="shared" si="18"/>
        <v/>
      </c>
      <c r="J41" s="311"/>
      <c r="K41" s="409" t="str">
        <f t="shared" si="0"/>
        <v/>
      </c>
      <c r="L41" s="406" t="str">
        <f t="shared" si="1"/>
        <v/>
      </c>
      <c r="M41" s="407" t="str">
        <f t="shared" si="2"/>
        <v/>
      </c>
      <c r="N41" s="312"/>
      <c r="O41" s="302"/>
      <c r="P41" s="411" t="str">
        <f t="shared" si="3"/>
        <v/>
      </c>
      <c r="Q41" s="411" t="str">
        <f t="shared" si="4"/>
        <v/>
      </c>
      <c r="R41" s="313"/>
      <c r="S41" s="314"/>
      <c r="T41" s="215" t="str">
        <f t="shared" si="5"/>
        <v/>
      </c>
      <c r="U41" s="216" t="str">
        <f t="shared" si="6"/>
        <v/>
      </c>
      <c r="V41" s="216" t="str">
        <f t="shared" si="7"/>
        <v/>
      </c>
      <c r="W41" s="216" t="str">
        <f t="shared" si="8"/>
        <v/>
      </c>
      <c r="X41" s="216" t="str">
        <f t="shared" si="9"/>
        <v/>
      </c>
      <c r="Y41" s="216" t="str">
        <f t="shared" si="10"/>
        <v/>
      </c>
      <c r="Z41" s="216" t="str">
        <f t="shared" si="11"/>
        <v/>
      </c>
      <c r="AA41" s="216" t="str">
        <f t="shared" si="12"/>
        <v/>
      </c>
      <c r="AB41" s="217" t="str">
        <f t="shared" si="15"/>
        <v/>
      </c>
      <c r="AC41" s="218" t="str">
        <f t="shared" si="16"/>
        <v/>
      </c>
      <c r="AD41" s="317"/>
      <c r="AF41" s="213" t="s">
        <v>1011</v>
      </c>
      <c r="AG41" s="205">
        <v>0</v>
      </c>
      <c r="AI41" s="634"/>
      <c r="AJ41" s="146" t="s">
        <v>535</v>
      </c>
      <c r="AK41" s="121">
        <v>0.53</v>
      </c>
      <c r="AL41" s="121">
        <v>3506</v>
      </c>
      <c r="AM41" s="121">
        <v>5475</v>
      </c>
      <c r="AN41" s="441">
        <v>0.76</v>
      </c>
      <c r="AO41" s="121">
        <v>1.38</v>
      </c>
      <c r="AP41" s="121">
        <v>1.1100000000000001</v>
      </c>
      <c r="AQ41" s="207"/>
      <c r="AR41" s="106"/>
      <c r="AS41" s="105"/>
    </row>
    <row r="42" spans="2:45" ht="15.5" x14ac:dyDescent="0.35">
      <c r="B42" s="96">
        <v>8</v>
      </c>
      <c r="C42" s="304"/>
      <c r="D42" s="302"/>
      <c r="E42" s="302"/>
      <c r="F42" s="644"/>
      <c r="G42" s="645"/>
      <c r="H42" s="408" t="str">
        <f t="shared" si="17"/>
        <v/>
      </c>
      <c r="I42" s="408" t="str">
        <f t="shared" si="18"/>
        <v/>
      </c>
      <c r="J42" s="311"/>
      <c r="K42" s="409" t="str">
        <f t="shared" si="0"/>
        <v/>
      </c>
      <c r="L42" s="406" t="str">
        <f t="shared" si="1"/>
        <v/>
      </c>
      <c r="M42" s="407" t="str">
        <f t="shared" si="2"/>
        <v/>
      </c>
      <c r="N42" s="312"/>
      <c r="O42" s="302"/>
      <c r="P42" s="411" t="str">
        <f t="shared" si="3"/>
        <v/>
      </c>
      <c r="Q42" s="411" t="str">
        <f t="shared" si="4"/>
        <v/>
      </c>
      <c r="R42" s="313"/>
      <c r="S42" s="314"/>
      <c r="T42" s="215" t="str">
        <f t="shared" si="5"/>
        <v/>
      </c>
      <c r="U42" s="216" t="str">
        <f t="shared" si="6"/>
        <v/>
      </c>
      <c r="V42" s="216" t="str">
        <f t="shared" si="7"/>
        <v/>
      </c>
      <c r="W42" s="216" t="str">
        <f t="shared" si="8"/>
        <v/>
      </c>
      <c r="X42" s="216" t="str">
        <f t="shared" si="9"/>
        <v/>
      </c>
      <c r="Y42" s="216" t="str">
        <f t="shared" si="10"/>
        <v/>
      </c>
      <c r="Z42" s="216" t="str">
        <f t="shared" si="11"/>
        <v/>
      </c>
      <c r="AA42" s="216" t="str">
        <f t="shared" si="12"/>
        <v/>
      </c>
      <c r="AB42" s="217" t="str">
        <f t="shared" si="15"/>
        <v/>
      </c>
      <c r="AC42" s="218" t="str">
        <f t="shared" si="16"/>
        <v/>
      </c>
      <c r="AD42" s="317"/>
      <c r="AF42" s="213" t="s">
        <v>1012</v>
      </c>
      <c r="AG42" s="205">
        <v>0</v>
      </c>
      <c r="AI42" s="634"/>
      <c r="AJ42" s="146" t="s">
        <v>536</v>
      </c>
      <c r="AK42" s="121">
        <v>0.52</v>
      </c>
      <c r="AL42" s="147">
        <v>2698</v>
      </c>
      <c r="AM42" s="147">
        <v>3088</v>
      </c>
      <c r="AN42" s="443">
        <v>0.69</v>
      </c>
      <c r="AO42" s="121">
        <v>1.26</v>
      </c>
      <c r="AP42" s="121">
        <v>1.1000000000000001</v>
      </c>
      <c r="AQ42" s="207"/>
      <c r="AR42" s="106"/>
      <c r="AS42" s="105"/>
    </row>
    <row r="43" spans="2:45" ht="15.5" x14ac:dyDescent="0.35">
      <c r="B43" s="96">
        <v>9</v>
      </c>
      <c r="C43" s="304"/>
      <c r="D43" s="302"/>
      <c r="E43" s="302"/>
      <c r="F43" s="644"/>
      <c r="G43" s="645"/>
      <c r="H43" s="408" t="str">
        <f t="shared" si="17"/>
        <v/>
      </c>
      <c r="I43" s="408" t="str">
        <f t="shared" si="18"/>
        <v/>
      </c>
      <c r="J43" s="311"/>
      <c r="K43" s="409" t="str">
        <f t="shared" si="0"/>
        <v/>
      </c>
      <c r="L43" s="406" t="str">
        <f t="shared" si="1"/>
        <v/>
      </c>
      <c r="M43" s="407" t="str">
        <f t="shared" si="2"/>
        <v/>
      </c>
      <c r="N43" s="312"/>
      <c r="O43" s="302"/>
      <c r="P43" s="411" t="str">
        <f t="shared" si="3"/>
        <v/>
      </c>
      <c r="Q43" s="411" t="str">
        <f t="shared" si="4"/>
        <v/>
      </c>
      <c r="R43" s="313"/>
      <c r="S43" s="314"/>
      <c r="T43" s="215" t="str">
        <f t="shared" si="5"/>
        <v/>
      </c>
      <c r="U43" s="216" t="str">
        <f t="shared" si="6"/>
        <v/>
      </c>
      <c r="V43" s="216" t="str">
        <f t="shared" si="7"/>
        <v/>
      </c>
      <c r="W43" s="216" t="str">
        <f t="shared" si="8"/>
        <v/>
      </c>
      <c r="X43" s="216" t="str">
        <f t="shared" si="9"/>
        <v/>
      </c>
      <c r="Y43" s="216" t="str">
        <f t="shared" si="10"/>
        <v/>
      </c>
      <c r="Z43" s="216" t="str">
        <f t="shared" si="11"/>
        <v/>
      </c>
      <c r="AA43" s="216" t="str">
        <f t="shared" si="12"/>
        <v/>
      </c>
      <c r="AB43" s="217" t="str">
        <f t="shared" si="15"/>
        <v/>
      </c>
      <c r="AC43" s="218" t="str">
        <f t="shared" si="16"/>
        <v/>
      </c>
      <c r="AD43" s="317"/>
      <c r="AF43" s="211" t="s">
        <v>1023</v>
      </c>
      <c r="AG43" s="205">
        <v>0.5</v>
      </c>
      <c r="AI43" s="634"/>
      <c r="AJ43" s="146" t="s">
        <v>139</v>
      </c>
      <c r="AK43" s="438">
        <v>0.85</v>
      </c>
      <c r="AL43" s="441">
        <v>3135</v>
      </c>
      <c r="AM43" s="441">
        <v>4293</v>
      </c>
      <c r="AN43" s="441">
        <v>0.45</v>
      </c>
      <c r="AO43" s="438">
        <v>1.17</v>
      </c>
      <c r="AP43" s="438">
        <v>1.02</v>
      </c>
      <c r="AQ43" s="207"/>
      <c r="AR43" s="106"/>
      <c r="AS43" s="105"/>
    </row>
    <row r="44" spans="2:45" ht="15.5" x14ac:dyDescent="0.35">
      <c r="B44" s="96">
        <v>10</v>
      </c>
      <c r="C44" s="304"/>
      <c r="D44" s="302"/>
      <c r="E44" s="302"/>
      <c r="F44" s="644"/>
      <c r="G44" s="645"/>
      <c r="H44" s="408" t="str">
        <f t="shared" ref="H44:H99" si="19">IF(E44="Exterior","N/A","")</f>
        <v/>
      </c>
      <c r="I44" s="408" t="str">
        <f t="shared" ref="I44:I99" si="20">IF(E44="Exterior","N/A","")</f>
        <v/>
      </c>
      <c r="J44" s="311"/>
      <c r="K44" s="409" t="str">
        <f t="shared" si="0"/>
        <v/>
      </c>
      <c r="L44" s="406" t="str">
        <f t="shared" si="1"/>
        <v/>
      </c>
      <c r="M44" s="407" t="str">
        <f t="shared" si="2"/>
        <v/>
      </c>
      <c r="N44" s="312"/>
      <c r="O44" s="302"/>
      <c r="P44" s="411" t="str">
        <f t="shared" si="3"/>
        <v/>
      </c>
      <c r="Q44" s="411" t="str">
        <f t="shared" si="4"/>
        <v/>
      </c>
      <c r="R44" s="313"/>
      <c r="S44" s="314"/>
      <c r="T44" s="215" t="str">
        <f t="shared" si="5"/>
        <v/>
      </c>
      <c r="U44" s="216" t="str">
        <f t="shared" si="6"/>
        <v/>
      </c>
      <c r="V44" s="216" t="str">
        <f t="shared" si="7"/>
        <v/>
      </c>
      <c r="W44" s="216" t="str">
        <f t="shared" si="8"/>
        <v/>
      </c>
      <c r="X44" s="216" t="str">
        <f t="shared" si="9"/>
        <v/>
      </c>
      <c r="Y44" s="216" t="str">
        <f t="shared" si="10"/>
        <v/>
      </c>
      <c r="Z44" s="216" t="str">
        <f t="shared" si="11"/>
        <v/>
      </c>
      <c r="AA44" s="216" t="str">
        <f t="shared" si="12"/>
        <v/>
      </c>
      <c r="AB44" s="217" t="str">
        <f t="shared" si="15"/>
        <v/>
      </c>
      <c r="AC44" s="218" t="str">
        <f t="shared" si="16"/>
        <v/>
      </c>
      <c r="AD44" s="317"/>
      <c r="AI44" s="634"/>
      <c r="AJ44" s="146" t="s">
        <v>537</v>
      </c>
      <c r="AK44" s="121">
        <v>0.52</v>
      </c>
      <c r="AL44" s="147">
        <v>2698</v>
      </c>
      <c r="AM44" s="147">
        <v>3088</v>
      </c>
      <c r="AN44" s="443">
        <v>0.91</v>
      </c>
      <c r="AO44" s="121">
        <v>1.26</v>
      </c>
      <c r="AP44" s="121">
        <v>1.1000000000000001</v>
      </c>
      <c r="AQ44" s="207"/>
      <c r="AR44" s="106"/>
      <c r="AS44" s="105"/>
    </row>
    <row r="45" spans="2:45" ht="15.5" x14ac:dyDescent="0.35">
      <c r="B45" s="96">
        <v>11</v>
      </c>
      <c r="C45" s="304"/>
      <c r="D45" s="302"/>
      <c r="E45" s="302"/>
      <c r="F45" s="644"/>
      <c r="G45" s="645"/>
      <c r="H45" s="408" t="str">
        <f t="shared" si="19"/>
        <v/>
      </c>
      <c r="I45" s="408" t="str">
        <f t="shared" si="20"/>
        <v/>
      </c>
      <c r="J45" s="311"/>
      <c r="K45" s="409" t="str">
        <f t="shared" si="0"/>
        <v/>
      </c>
      <c r="L45" s="406" t="str">
        <f t="shared" si="1"/>
        <v/>
      </c>
      <c r="M45" s="407" t="str">
        <f t="shared" si="2"/>
        <v/>
      </c>
      <c r="N45" s="312"/>
      <c r="O45" s="302"/>
      <c r="P45" s="411" t="str">
        <f t="shared" si="3"/>
        <v/>
      </c>
      <c r="Q45" s="411" t="str">
        <f t="shared" si="4"/>
        <v/>
      </c>
      <c r="R45" s="313"/>
      <c r="S45" s="314"/>
      <c r="T45" s="215" t="str">
        <f t="shared" si="5"/>
        <v/>
      </c>
      <c r="U45" s="216" t="str">
        <f t="shared" si="6"/>
        <v/>
      </c>
      <c r="V45" s="216" t="str">
        <f t="shared" si="7"/>
        <v/>
      </c>
      <c r="W45" s="216" t="str">
        <f t="shared" si="8"/>
        <v/>
      </c>
      <c r="X45" s="216" t="str">
        <f t="shared" si="9"/>
        <v/>
      </c>
      <c r="Y45" s="216" t="str">
        <f t="shared" si="10"/>
        <v/>
      </c>
      <c r="Z45" s="216" t="str">
        <f t="shared" si="11"/>
        <v/>
      </c>
      <c r="AA45" s="216" t="str">
        <f t="shared" si="12"/>
        <v/>
      </c>
      <c r="AB45" s="217" t="str">
        <f t="shared" si="15"/>
        <v/>
      </c>
      <c r="AC45" s="218" t="str">
        <f t="shared" si="16"/>
        <v/>
      </c>
      <c r="AD45" s="317"/>
      <c r="AI45" s="635"/>
      <c r="AJ45" s="152" t="s">
        <v>473</v>
      </c>
      <c r="AK45" s="445">
        <v>0</v>
      </c>
      <c r="AL45" s="445">
        <v>4303</v>
      </c>
      <c r="AM45" s="445">
        <v>4303</v>
      </c>
      <c r="AN45" s="512"/>
      <c r="AO45" s="445">
        <v>1</v>
      </c>
      <c r="AP45" s="445">
        <v>1</v>
      </c>
      <c r="AQ45" s="207"/>
      <c r="AR45" s="106"/>
      <c r="AS45" s="105"/>
    </row>
    <row r="46" spans="2:45" ht="15.5" x14ac:dyDescent="0.35">
      <c r="B46" s="96">
        <v>12</v>
      </c>
      <c r="C46" s="304"/>
      <c r="D46" s="302"/>
      <c r="E46" s="302"/>
      <c r="F46" s="644"/>
      <c r="G46" s="645"/>
      <c r="H46" s="408" t="str">
        <f t="shared" si="19"/>
        <v/>
      </c>
      <c r="I46" s="408" t="str">
        <f t="shared" si="20"/>
        <v/>
      </c>
      <c r="J46" s="311"/>
      <c r="K46" s="409" t="str">
        <f t="shared" si="0"/>
        <v/>
      </c>
      <c r="L46" s="406" t="str">
        <f t="shared" si="1"/>
        <v/>
      </c>
      <c r="M46" s="407" t="str">
        <f t="shared" si="2"/>
        <v/>
      </c>
      <c r="N46" s="312"/>
      <c r="O46" s="302"/>
      <c r="P46" s="411" t="str">
        <f t="shared" si="3"/>
        <v/>
      </c>
      <c r="Q46" s="411" t="str">
        <f t="shared" si="4"/>
        <v/>
      </c>
      <c r="R46" s="313"/>
      <c r="S46" s="314"/>
      <c r="T46" s="215" t="str">
        <f t="shared" si="5"/>
        <v/>
      </c>
      <c r="U46" s="216" t="str">
        <f t="shared" si="6"/>
        <v/>
      </c>
      <c r="V46" s="216" t="str">
        <f t="shared" si="7"/>
        <v/>
      </c>
      <c r="W46" s="216" t="str">
        <f t="shared" si="8"/>
        <v/>
      </c>
      <c r="X46" s="216" t="str">
        <f t="shared" si="9"/>
        <v/>
      </c>
      <c r="Y46" s="216" t="str">
        <f t="shared" si="10"/>
        <v/>
      </c>
      <c r="Z46" s="216" t="str">
        <f t="shared" si="11"/>
        <v/>
      </c>
      <c r="AA46" s="216" t="str">
        <f t="shared" si="12"/>
        <v/>
      </c>
      <c r="AB46" s="217" t="str">
        <f t="shared" si="15"/>
        <v/>
      </c>
      <c r="AC46" s="218" t="str">
        <f t="shared" si="16"/>
        <v/>
      </c>
      <c r="AD46" s="317"/>
      <c r="AI46" s="178"/>
      <c r="AJ46" s="146"/>
      <c r="AK46" s="121"/>
      <c r="AL46" s="147"/>
      <c r="AM46" s="147"/>
      <c r="AN46" s="440"/>
      <c r="AO46" s="121"/>
      <c r="AP46" s="121"/>
      <c r="AQ46" s="208"/>
      <c r="AR46" s="106"/>
      <c r="AS46" s="105"/>
    </row>
    <row r="47" spans="2:45" ht="15.5" x14ac:dyDescent="0.35">
      <c r="B47" s="96">
        <v>13</v>
      </c>
      <c r="C47" s="304"/>
      <c r="D47" s="302"/>
      <c r="E47" s="302"/>
      <c r="F47" s="644"/>
      <c r="G47" s="645"/>
      <c r="H47" s="408" t="str">
        <f t="shared" si="19"/>
        <v/>
      </c>
      <c r="I47" s="408" t="str">
        <f t="shared" si="20"/>
        <v/>
      </c>
      <c r="J47" s="311"/>
      <c r="K47" s="409" t="str">
        <f t="shared" si="0"/>
        <v/>
      </c>
      <c r="L47" s="406" t="str">
        <f t="shared" si="1"/>
        <v/>
      </c>
      <c r="M47" s="407" t="str">
        <f t="shared" si="2"/>
        <v/>
      </c>
      <c r="N47" s="312"/>
      <c r="O47" s="302"/>
      <c r="P47" s="411" t="str">
        <f t="shared" si="3"/>
        <v/>
      </c>
      <c r="Q47" s="411" t="str">
        <f t="shared" si="4"/>
        <v/>
      </c>
      <c r="R47" s="313"/>
      <c r="S47" s="314"/>
      <c r="T47" s="215" t="str">
        <f t="shared" si="5"/>
        <v/>
      </c>
      <c r="U47" s="216" t="str">
        <f t="shared" si="6"/>
        <v/>
      </c>
      <c r="V47" s="216" t="str">
        <f t="shared" si="7"/>
        <v/>
      </c>
      <c r="W47" s="216" t="str">
        <f t="shared" si="8"/>
        <v/>
      </c>
      <c r="X47" s="216" t="str">
        <f t="shared" si="9"/>
        <v/>
      </c>
      <c r="Y47" s="216" t="str">
        <f t="shared" si="10"/>
        <v/>
      </c>
      <c r="Z47" s="216" t="str">
        <f t="shared" si="11"/>
        <v/>
      </c>
      <c r="AA47" s="216" t="str">
        <f t="shared" si="12"/>
        <v/>
      </c>
      <c r="AB47" s="217" t="str">
        <f t="shared" si="15"/>
        <v/>
      </c>
      <c r="AC47" s="218" t="str">
        <f t="shared" si="16"/>
        <v/>
      </c>
      <c r="AD47" s="317"/>
      <c r="AI47" s="107"/>
      <c r="AJ47" s="152"/>
      <c r="AK47" s="153"/>
      <c r="AL47" s="153"/>
      <c r="AM47" s="153"/>
      <c r="AN47" s="153"/>
      <c r="AO47" s="153"/>
      <c r="AP47" s="153"/>
      <c r="AQ47" s="145"/>
      <c r="AR47" s="106"/>
      <c r="AS47" s="105"/>
    </row>
    <row r="48" spans="2:45" ht="15.5" x14ac:dyDescent="0.35">
      <c r="B48" s="96">
        <v>14</v>
      </c>
      <c r="C48" s="304"/>
      <c r="D48" s="302"/>
      <c r="E48" s="302"/>
      <c r="F48" s="644"/>
      <c r="G48" s="645"/>
      <c r="H48" s="408" t="str">
        <f t="shared" si="19"/>
        <v/>
      </c>
      <c r="I48" s="408" t="str">
        <f t="shared" si="20"/>
        <v/>
      </c>
      <c r="J48" s="311"/>
      <c r="K48" s="409" t="str">
        <f t="shared" si="0"/>
        <v/>
      </c>
      <c r="L48" s="406" t="str">
        <f t="shared" si="1"/>
        <v/>
      </c>
      <c r="M48" s="407" t="str">
        <f t="shared" si="2"/>
        <v/>
      </c>
      <c r="N48" s="312"/>
      <c r="O48" s="302"/>
      <c r="P48" s="411" t="str">
        <f t="shared" si="3"/>
        <v/>
      </c>
      <c r="Q48" s="411" t="str">
        <f t="shared" si="4"/>
        <v/>
      </c>
      <c r="R48" s="313"/>
      <c r="S48" s="314"/>
      <c r="T48" s="215" t="str">
        <f t="shared" si="5"/>
        <v/>
      </c>
      <c r="U48" s="216" t="str">
        <f t="shared" si="6"/>
        <v/>
      </c>
      <c r="V48" s="216" t="str">
        <f t="shared" si="7"/>
        <v/>
      </c>
      <c r="W48" s="216" t="str">
        <f t="shared" si="8"/>
        <v/>
      </c>
      <c r="X48" s="216" t="str">
        <f t="shared" si="9"/>
        <v/>
      </c>
      <c r="Y48" s="216" t="str">
        <f t="shared" si="10"/>
        <v/>
      </c>
      <c r="Z48" s="216" t="str">
        <f t="shared" si="11"/>
        <v/>
      </c>
      <c r="AA48" s="216" t="str">
        <f t="shared" si="12"/>
        <v/>
      </c>
      <c r="AB48" s="217" t="str">
        <f t="shared" si="15"/>
        <v/>
      </c>
      <c r="AC48" s="218" t="str">
        <f t="shared" si="16"/>
        <v/>
      </c>
      <c r="AD48" s="317"/>
      <c r="AI48" s="107"/>
      <c r="AJ48" s="143"/>
      <c r="AK48" s="144"/>
      <c r="AL48" s="144"/>
      <c r="AM48" s="144"/>
      <c r="AN48" s="144"/>
      <c r="AO48" s="144"/>
      <c r="AP48" s="144"/>
      <c r="AQ48" s="145"/>
      <c r="AR48" s="106"/>
      <c r="AS48" s="105"/>
    </row>
    <row r="49" spans="2:47" ht="15.75" customHeight="1" x14ac:dyDescent="0.35">
      <c r="B49" s="96">
        <v>15</v>
      </c>
      <c r="C49" s="304"/>
      <c r="D49" s="302"/>
      <c r="E49" s="302"/>
      <c r="F49" s="644"/>
      <c r="G49" s="645"/>
      <c r="H49" s="408" t="str">
        <f t="shared" si="19"/>
        <v/>
      </c>
      <c r="I49" s="408" t="str">
        <f t="shared" si="20"/>
        <v/>
      </c>
      <c r="J49" s="311"/>
      <c r="K49" s="409" t="str">
        <f t="shared" si="0"/>
        <v/>
      </c>
      <c r="L49" s="406" t="str">
        <f t="shared" si="1"/>
        <v/>
      </c>
      <c r="M49" s="407" t="str">
        <f t="shared" si="2"/>
        <v/>
      </c>
      <c r="N49" s="312"/>
      <c r="O49" s="302"/>
      <c r="P49" s="411" t="str">
        <f t="shared" si="3"/>
        <v/>
      </c>
      <c r="Q49" s="411" t="str">
        <f t="shared" si="4"/>
        <v/>
      </c>
      <c r="R49" s="313"/>
      <c r="S49" s="314"/>
      <c r="T49" s="215" t="str">
        <f t="shared" si="5"/>
        <v/>
      </c>
      <c r="U49" s="216" t="str">
        <f t="shared" si="6"/>
        <v/>
      </c>
      <c r="V49" s="216" t="str">
        <f t="shared" si="7"/>
        <v/>
      </c>
      <c r="W49" s="216" t="str">
        <f t="shared" si="8"/>
        <v/>
      </c>
      <c r="X49" s="216" t="str">
        <f t="shared" si="9"/>
        <v/>
      </c>
      <c r="Y49" s="216" t="str">
        <f t="shared" si="10"/>
        <v/>
      </c>
      <c r="Z49" s="216" t="str">
        <f t="shared" si="11"/>
        <v/>
      </c>
      <c r="AA49" s="216" t="str">
        <f t="shared" si="12"/>
        <v/>
      </c>
      <c r="AB49" s="217" t="str">
        <f t="shared" si="15"/>
        <v/>
      </c>
      <c r="AC49" s="218" t="str">
        <f t="shared" si="16"/>
        <v/>
      </c>
      <c r="AD49" s="317"/>
      <c r="AJ49" s="143"/>
      <c r="AK49" s="144"/>
      <c r="AL49" s="144"/>
      <c r="AM49" s="144"/>
      <c r="AN49" s="144"/>
      <c r="AO49" s="144"/>
      <c r="AP49" s="144"/>
    </row>
    <row r="50" spans="2:47" x14ac:dyDescent="0.35">
      <c r="B50" s="96">
        <v>16</v>
      </c>
      <c r="C50" s="304"/>
      <c r="D50" s="302"/>
      <c r="E50" s="302"/>
      <c r="F50" s="644"/>
      <c r="G50" s="645"/>
      <c r="H50" s="408" t="str">
        <f t="shared" si="19"/>
        <v/>
      </c>
      <c r="I50" s="408" t="str">
        <f t="shared" si="20"/>
        <v/>
      </c>
      <c r="J50" s="311"/>
      <c r="K50" s="409" t="str">
        <f t="shared" si="0"/>
        <v/>
      </c>
      <c r="L50" s="406" t="str">
        <f t="shared" si="1"/>
        <v/>
      </c>
      <c r="M50" s="407" t="str">
        <f t="shared" si="2"/>
        <v/>
      </c>
      <c r="N50" s="312"/>
      <c r="O50" s="302"/>
      <c r="P50" s="411" t="str">
        <f t="shared" si="3"/>
        <v/>
      </c>
      <c r="Q50" s="411" t="str">
        <f t="shared" si="4"/>
        <v/>
      </c>
      <c r="R50" s="313"/>
      <c r="S50" s="314"/>
      <c r="T50" s="215" t="str">
        <f t="shared" si="5"/>
        <v/>
      </c>
      <c r="U50" s="216" t="str">
        <f t="shared" si="6"/>
        <v/>
      </c>
      <c r="V50" s="216" t="str">
        <f t="shared" si="7"/>
        <v/>
      </c>
      <c r="W50" s="216" t="str">
        <f t="shared" si="8"/>
        <v/>
      </c>
      <c r="X50" s="216" t="str">
        <f t="shared" si="9"/>
        <v/>
      </c>
      <c r="Y50" s="216" t="str">
        <f t="shared" si="10"/>
        <v/>
      </c>
      <c r="Z50" s="216" t="str">
        <f t="shared" si="11"/>
        <v/>
      </c>
      <c r="AA50" s="216" t="str">
        <f t="shared" si="12"/>
        <v/>
      </c>
      <c r="AB50" s="217" t="str">
        <f t="shared" si="15"/>
        <v/>
      </c>
      <c r="AC50" s="218" t="str">
        <f t="shared" si="16"/>
        <v/>
      </c>
      <c r="AD50" s="317"/>
      <c r="AU50"/>
    </row>
    <row r="51" spans="2:47" x14ac:dyDescent="0.35">
      <c r="B51" s="96">
        <v>17</v>
      </c>
      <c r="C51" s="304"/>
      <c r="D51" s="302"/>
      <c r="E51" s="302"/>
      <c r="F51" s="644"/>
      <c r="G51" s="645"/>
      <c r="H51" s="408" t="str">
        <f t="shared" si="19"/>
        <v/>
      </c>
      <c r="I51" s="408" t="str">
        <f t="shared" si="20"/>
        <v/>
      </c>
      <c r="J51" s="311"/>
      <c r="K51" s="409" t="str">
        <f t="shared" si="0"/>
        <v/>
      </c>
      <c r="L51" s="406" t="str">
        <f t="shared" si="1"/>
        <v/>
      </c>
      <c r="M51" s="407" t="str">
        <f t="shared" si="2"/>
        <v/>
      </c>
      <c r="N51" s="312"/>
      <c r="O51" s="302"/>
      <c r="P51" s="411" t="str">
        <f t="shared" si="3"/>
        <v/>
      </c>
      <c r="Q51" s="411" t="str">
        <f t="shared" si="4"/>
        <v/>
      </c>
      <c r="R51" s="313"/>
      <c r="S51" s="314"/>
      <c r="T51" s="215" t="str">
        <f t="shared" si="5"/>
        <v/>
      </c>
      <c r="U51" s="216" t="str">
        <f t="shared" si="6"/>
        <v/>
      </c>
      <c r="V51" s="216" t="str">
        <f t="shared" si="7"/>
        <v/>
      </c>
      <c r="W51" s="216" t="str">
        <f t="shared" si="8"/>
        <v/>
      </c>
      <c r="X51" s="216" t="str">
        <f t="shared" si="9"/>
        <v/>
      </c>
      <c r="Y51" s="216" t="str">
        <f t="shared" si="10"/>
        <v/>
      </c>
      <c r="Z51" s="216" t="str">
        <f t="shared" si="11"/>
        <v/>
      </c>
      <c r="AA51" s="216" t="str">
        <f t="shared" si="12"/>
        <v/>
      </c>
      <c r="AB51" s="217" t="str">
        <f t="shared" si="15"/>
        <v/>
      </c>
      <c r="AC51" s="218" t="str">
        <f t="shared" si="16"/>
        <v/>
      </c>
      <c r="AD51" s="317"/>
    </row>
    <row r="52" spans="2:47" x14ac:dyDescent="0.35">
      <c r="B52" s="96">
        <v>18</v>
      </c>
      <c r="C52" s="304"/>
      <c r="D52" s="302"/>
      <c r="E52" s="302"/>
      <c r="F52" s="644"/>
      <c r="G52" s="645"/>
      <c r="H52" s="408" t="str">
        <f t="shared" si="19"/>
        <v/>
      </c>
      <c r="I52" s="408" t="str">
        <f t="shared" si="20"/>
        <v/>
      </c>
      <c r="J52" s="311"/>
      <c r="K52" s="409" t="str">
        <f t="shared" si="0"/>
        <v/>
      </c>
      <c r="L52" s="406" t="str">
        <f t="shared" si="1"/>
        <v/>
      </c>
      <c r="M52" s="407" t="str">
        <f t="shared" si="2"/>
        <v/>
      </c>
      <c r="N52" s="312"/>
      <c r="O52" s="302"/>
      <c r="P52" s="411" t="str">
        <f t="shared" si="3"/>
        <v/>
      </c>
      <c r="Q52" s="411" t="str">
        <f t="shared" si="4"/>
        <v/>
      </c>
      <c r="R52" s="313"/>
      <c r="S52" s="314"/>
      <c r="T52" s="215" t="str">
        <f t="shared" si="5"/>
        <v/>
      </c>
      <c r="U52" s="216" t="str">
        <f t="shared" si="6"/>
        <v/>
      </c>
      <c r="V52" s="216" t="str">
        <f t="shared" si="7"/>
        <v/>
      </c>
      <c r="W52" s="216" t="str">
        <f t="shared" si="8"/>
        <v/>
      </c>
      <c r="X52" s="216" t="str">
        <f t="shared" si="9"/>
        <v/>
      </c>
      <c r="Y52" s="216" t="str">
        <f t="shared" si="10"/>
        <v/>
      </c>
      <c r="Z52" s="216" t="str">
        <f t="shared" si="11"/>
        <v/>
      </c>
      <c r="AA52" s="216" t="str">
        <f t="shared" si="12"/>
        <v/>
      </c>
      <c r="AB52" s="217" t="str">
        <f t="shared" si="15"/>
        <v/>
      </c>
      <c r="AC52" s="218" t="str">
        <f t="shared" si="16"/>
        <v/>
      </c>
      <c r="AD52" s="317"/>
      <c r="AF52" s="209" t="s">
        <v>485</v>
      </c>
    </row>
    <row r="53" spans="2:47" ht="15.75" customHeight="1" x14ac:dyDescent="0.35">
      <c r="B53" s="96">
        <v>19</v>
      </c>
      <c r="C53" s="304"/>
      <c r="D53" s="302"/>
      <c r="E53" s="302"/>
      <c r="F53" s="644"/>
      <c r="G53" s="645"/>
      <c r="H53" s="408" t="str">
        <f t="shared" si="19"/>
        <v/>
      </c>
      <c r="I53" s="408" t="str">
        <f t="shared" si="20"/>
        <v/>
      </c>
      <c r="J53" s="311"/>
      <c r="K53" s="409" t="str">
        <f t="shared" si="0"/>
        <v/>
      </c>
      <c r="L53" s="406" t="str">
        <f t="shared" si="1"/>
        <v/>
      </c>
      <c r="M53" s="407" t="str">
        <f t="shared" si="2"/>
        <v/>
      </c>
      <c r="N53" s="312"/>
      <c r="O53" s="302"/>
      <c r="P53" s="411" t="str">
        <f t="shared" si="3"/>
        <v/>
      </c>
      <c r="Q53" s="411" t="str">
        <f t="shared" si="4"/>
        <v/>
      </c>
      <c r="R53" s="313"/>
      <c r="S53" s="314"/>
      <c r="T53" s="215" t="str">
        <f t="shared" si="5"/>
        <v/>
      </c>
      <c r="U53" s="216" t="str">
        <f t="shared" si="6"/>
        <v/>
      </c>
      <c r="V53" s="216" t="str">
        <f t="shared" si="7"/>
        <v/>
      </c>
      <c r="W53" s="216" t="str">
        <f t="shared" si="8"/>
        <v/>
      </c>
      <c r="X53" s="216" t="str">
        <f t="shared" si="9"/>
        <v/>
      </c>
      <c r="Y53" s="216" t="str">
        <f t="shared" si="10"/>
        <v/>
      </c>
      <c r="Z53" s="216" t="str">
        <f t="shared" si="11"/>
        <v/>
      </c>
      <c r="AA53" s="216" t="str">
        <f t="shared" si="12"/>
        <v/>
      </c>
      <c r="AB53" s="217" t="str">
        <f t="shared" si="15"/>
        <v/>
      </c>
      <c r="AC53" s="218" t="str">
        <f t="shared" si="16"/>
        <v/>
      </c>
      <c r="AD53" s="317"/>
      <c r="AF53" s="356">
        <v>0</v>
      </c>
      <c r="AI53" s="107"/>
      <c r="AJ53" s="179"/>
      <c r="AK53" s="639" t="s">
        <v>1098</v>
      </c>
      <c r="AL53" s="640"/>
      <c r="AM53" s="640"/>
      <c r="AN53" s="640"/>
      <c r="AO53" s="641"/>
      <c r="AP53" s="180"/>
      <c r="AQ53" s="180"/>
      <c r="AR53" s="180"/>
      <c r="AS53" s="105"/>
    </row>
    <row r="54" spans="2:47" ht="14.5" customHeight="1" x14ac:dyDescent="0.35">
      <c r="B54" s="96">
        <v>20</v>
      </c>
      <c r="C54" s="304"/>
      <c r="D54" s="302"/>
      <c r="E54" s="302"/>
      <c r="F54" s="644"/>
      <c r="G54" s="645"/>
      <c r="H54" s="408" t="str">
        <f t="shared" si="19"/>
        <v/>
      </c>
      <c r="I54" s="408" t="str">
        <f t="shared" si="20"/>
        <v/>
      </c>
      <c r="J54" s="311"/>
      <c r="K54" s="409" t="str">
        <f t="shared" si="0"/>
        <v/>
      </c>
      <c r="L54" s="406" t="str">
        <f t="shared" si="1"/>
        <v/>
      </c>
      <c r="M54" s="407" t="str">
        <f t="shared" si="2"/>
        <v/>
      </c>
      <c r="N54" s="312"/>
      <c r="O54" s="302"/>
      <c r="P54" s="411" t="str">
        <f t="shared" si="3"/>
        <v/>
      </c>
      <c r="Q54" s="411" t="str">
        <f t="shared" si="4"/>
        <v/>
      </c>
      <c r="R54" s="313"/>
      <c r="S54" s="314"/>
      <c r="T54" s="215" t="str">
        <f t="shared" si="5"/>
        <v/>
      </c>
      <c r="U54" s="216" t="str">
        <f t="shared" si="6"/>
        <v/>
      </c>
      <c r="V54" s="216" t="str">
        <f t="shared" si="7"/>
        <v/>
      </c>
      <c r="W54" s="216" t="str">
        <f t="shared" si="8"/>
        <v/>
      </c>
      <c r="X54" s="216" t="str">
        <f t="shared" si="9"/>
        <v/>
      </c>
      <c r="Y54" s="216" t="str">
        <f t="shared" si="10"/>
        <v/>
      </c>
      <c r="Z54" s="216" t="str">
        <f t="shared" si="11"/>
        <v/>
      </c>
      <c r="AA54" s="216" t="str">
        <f t="shared" si="12"/>
        <v/>
      </c>
      <c r="AB54" s="217" t="str">
        <f t="shared" si="15"/>
        <v/>
      </c>
      <c r="AC54" s="218" t="str">
        <f t="shared" si="16"/>
        <v/>
      </c>
      <c r="AD54" s="317"/>
      <c r="AI54" s="105"/>
      <c r="AJ54" s="181" t="s">
        <v>475</v>
      </c>
      <c r="AK54" s="182" t="s">
        <v>580</v>
      </c>
      <c r="AL54" s="182" t="s">
        <v>576</v>
      </c>
      <c r="AM54" s="182" t="s">
        <v>577</v>
      </c>
      <c r="AN54" s="182" t="s">
        <v>578</v>
      </c>
      <c r="AO54" s="182" t="s">
        <v>579</v>
      </c>
      <c r="AP54" s="183" t="s">
        <v>555</v>
      </c>
      <c r="AQ54" s="184" t="s">
        <v>556</v>
      </c>
      <c r="AR54" s="185" t="s">
        <v>464</v>
      </c>
    </row>
    <row r="55" spans="2:47" ht="15.75" customHeight="1" x14ac:dyDescent="0.35">
      <c r="B55" s="96">
        <v>21</v>
      </c>
      <c r="C55" s="304"/>
      <c r="D55" s="302"/>
      <c r="E55" s="302"/>
      <c r="F55" s="644"/>
      <c r="G55" s="645"/>
      <c r="H55" s="408" t="str">
        <f t="shared" si="19"/>
        <v/>
      </c>
      <c r="I55" s="408" t="str">
        <f t="shared" si="20"/>
        <v/>
      </c>
      <c r="J55" s="311"/>
      <c r="K55" s="409" t="str">
        <f t="shared" si="0"/>
        <v/>
      </c>
      <c r="L55" s="406" t="str">
        <f t="shared" si="1"/>
        <v/>
      </c>
      <c r="M55" s="407" t="str">
        <f t="shared" si="2"/>
        <v/>
      </c>
      <c r="N55" s="312"/>
      <c r="O55" s="302"/>
      <c r="P55" s="411" t="str">
        <f t="shared" si="3"/>
        <v/>
      </c>
      <c r="Q55" s="411" t="str">
        <f t="shared" si="4"/>
        <v/>
      </c>
      <c r="R55" s="313"/>
      <c r="S55" s="314"/>
      <c r="T55" s="215" t="str">
        <f t="shared" si="5"/>
        <v/>
      </c>
      <c r="U55" s="216" t="str">
        <f t="shared" si="6"/>
        <v/>
      </c>
      <c r="V55" s="216" t="str">
        <f t="shared" si="7"/>
        <v/>
      </c>
      <c r="W55" s="216" t="str">
        <f t="shared" si="8"/>
        <v/>
      </c>
      <c r="X55" s="216" t="str">
        <f t="shared" si="9"/>
        <v/>
      </c>
      <c r="Y55" s="216" t="str">
        <f t="shared" si="10"/>
        <v/>
      </c>
      <c r="Z55" s="216" t="str">
        <f t="shared" si="11"/>
        <v/>
      </c>
      <c r="AA55" s="216" t="str">
        <f t="shared" si="12"/>
        <v/>
      </c>
      <c r="AB55" s="217" t="str">
        <f t="shared" si="15"/>
        <v/>
      </c>
      <c r="AC55" s="218" t="str">
        <f t="shared" si="16"/>
        <v/>
      </c>
      <c r="AD55" s="317"/>
      <c r="AI55" s="105"/>
      <c r="AJ55" s="170" t="s">
        <v>554</v>
      </c>
      <c r="AK55" s="446">
        <v>0</v>
      </c>
      <c r="AL55" s="446">
        <v>350</v>
      </c>
      <c r="AM55" s="446">
        <v>400</v>
      </c>
      <c r="AN55" s="446">
        <v>500</v>
      </c>
      <c r="AO55" s="446">
        <v>900</v>
      </c>
      <c r="AP55" s="171"/>
      <c r="AQ55" s="171"/>
      <c r="AR55" s="172"/>
    </row>
    <row r="56" spans="2:47" x14ac:dyDescent="0.35">
      <c r="B56" s="96">
        <v>22</v>
      </c>
      <c r="C56" s="304"/>
      <c r="D56" s="302"/>
      <c r="E56" s="302"/>
      <c r="F56" s="644"/>
      <c r="G56" s="645"/>
      <c r="H56" s="408" t="str">
        <f t="shared" si="19"/>
        <v/>
      </c>
      <c r="I56" s="408" t="str">
        <f t="shared" si="20"/>
        <v/>
      </c>
      <c r="J56" s="311"/>
      <c r="K56" s="409" t="str">
        <f t="shared" si="0"/>
        <v/>
      </c>
      <c r="L56" s="406" t="str">
        <f t="shared" si="1"/>
        <v/>
      </c>
      <c r="M56" s="407" t="str">
        <f t="shared" si="2"/>
        <v/>
      </c>
      <c r="N56" s="312"/>
      <c r="O56" s="302"/>
      <c r="P56" s="411" t="str">
        <f t="shared" si="3"/>
        <v/>
      </c>
      <c r="Q56" s="411" t="str">
        <f t="shared" si="4"/>
        <v/>
      </c>
      <c r="R56" s="313"/>
      <c r="S56" s="314"/>
      <c r="T56" s="215" t="str">
        <f t="shared" si="5"/>
        <v/>
      </c>
      <c r="U56" s="216" t="str">
        <f t="shared" si="6"/>
        <v/>
      </c>
      <c r="V56" s="216" t="str">
        <f t="shared" si="7"/>
        <v/>
      </c>
      <c r="W56" s="216" t="str">
        <f t="shared" si="8"/>
        <v/>
      </c>
      <c r="X56" s="216" t="str">
        <f t="shared" si="9"/>
        <v/>
      </c>
      <c r="Y56" s="216" t="str">
        <f t="shared" si="10"/>
        <v/>
      </c>
      <c r="Z56" s="216" t="str">
        <f t="shared" si="11"/>
        <v/>
      </c>
      <c r="AA56" s="216" t="str">
        <f t="shared" si="12"/>
        <v/>
      </c>
      <c r="AB56" s="217" t="str">
        <f t="shared" si="15"/>
        <v/>
      </c>
      <c r="AC56" s="218" t="str">
        <f t="shared" si="16"/>
        <v/>
      </c>
      <c r="AD56" s="317"/>
      <c r="AI56" s="633" t="s">
        <v>627</v>
      </c>
      <c r="AJ56" s="173" t="s">
        <v>491</v>
      </c>
      <c r="AK56" s="447">
        <v>0</v>
      </c>
      <c r="AL56" s="447">
        <v>0.03</v>
      </c>
      <c r="AM56" s="447">
        <v>0.04</v>
      </c>
      <c r="AN56" s="447">
        <v>0.06</v>
      </c>
      <c r="AO56" s="447">
        <v>0.08</v>
      </c>
      <c r="AP56" s="108"/>
      <c r="AQ56" s="108"/>
      <c r="AR56" s="174" t="str">
        <f>"ft"&amp;CHAR(178)</f>
        <v>ft²</v>
      </c>
    </row>
    <row r="57" spans="2:47" x14ac:dyDescent="0.35">
      <c r="B57" s="96">
        <v>23</v>
      </c>
      <c r="C57" s="304"/>
      <c r="D57" s="302"/>
      <c r="E57" s="302"/>
      <c r="F57" s="644"/>
      <c r="G57" s="645"/>
      <c r="H57" s="408" t="str">
        <f t="shared" si="19"/>
        <v/>
      </c>
      <c r="I57" s="408" t="str">
        <f t="shared" si="20"/>
        <v/>
      </c>
      <c r="J57" s="311"/>
      <c r="K57" s="409" t="str">
        <f t="shared" si="0"/>
        <v/>
      </c>
      <c r="L57" s="406" t="str">
        <f t="shared" si="1"/>
        <v/>
      </c>
      <c r="M57" s="407" t="str">
        <f t="shared" si="2"/>
        <v/>
      </c>
      <c r="N57" s="312"/>
      <c r="O57" s="302"/>
      <c r="P57" s="411" t="str">
        <f t="shared" si="3"/>
        <v/>
      </c>
      <c r="Q57" s="411" t="str">
        <f t="shared" si="4"/>
        <v/>
      </c>
      <c r="R57" s="313"/>
      <c r="S57" s="314"/>
      <c r="T57" s="215" t="str">
        <f t="shared" si="5"/>
        <v/>
      </c>
      <c r="U57" s="216" t="str">
        <f t="shared" si="6"/>
        <v/>
      </c>
      <c r="V57" s="216" t="str">
        <f t="shared" si="7"/>
        <v/>
      </c>
      <c r="W57" s="216" t="str">
        <f t="shared" si="8"/>
        <v/>
      </c>
      <c r="X57" s="216" t="str">
        <f t="shared" si="9"/>
        <v/>
      </c>
      <c r="Y57" s="216" t="str">
        <f t="shared" si="10"/>
        <v/>
      </c>
      <c r="Z57" s="216" t="str">
        <f t="shared" si="11"/>
        <v/>
      </c>
      <c r="AA57" s="216" t="str">
        <f t="shared" si="12"/>
        <v/>
      </c>
      <c r="AB57" s="217" t="str">
        <f t="shared" si="15"/>
        <v/>
      </c>
      <c r="AC57" s="218" t="str">
        <f t="shared" si="16"/>
        <v/>
      </c>
      <c r="AD57" s="317"/>
      <c r="AI57" s="634"/>
      <c r="AJ57" s="173" t="s">
        <v>641</v>
      </c>
      <c r="AK57" s="446">
        <v>0</v>
      </c>
      <c r="AL57" s="446">
        <v>0.5</v>
      </c>
      <c r="AM57" s="446">
        <v>0.5</v>
      </c>
      <c r="AN57" s="446">
        <v>0.6</v>
      </c>
      <c r="AO57" s="446">
        <v>0.7</v>
      </c>
      <c r="AP57" s="108" t="s">
        <v>637</v>
      </c>
      <c r="AQ57" s="108"/>
      <c r="AR57" s="174" t="s">
        <v>557</v>
      </c>
    </row>
    <row r="58" spans="2:47" x14ac:dyDescent="0.35">
      <c r="B58" s="96">
        <v>24</v>
      </c>
      <c r="C58" s="304"/>
      <c r="D58" s="302"/>
      <c r="E58" s="302"/>
      <c r="F58" s="644"/>
      <c r="G58" s="645"/>
      <c r="H58" s="408" t="str">
        <f t="shared" si="19"/>
        <v/>
      </c>
      <c r="I58" s="408" t="str">
        <f t="shared" si="20"/>
        <v/>
      </c>
      <c r="J58" s="311"/>
      <c r="K58" s="409" t="str">
        <f t="shared" si="0"/>
        <v/>
      </c>
      <c r="L58" s="406" t="str">
        <f t="shared" si="1"/>
        <v/>
      </c>
      <c r="M58" s="407" t="str">
        <f t="shared" si="2"/>
        <v/>
      </c>
      <c r="N58" s="312"/>
      <c r="O58" s="302"/>
      <c r="P58" s="411" t="str">
        <f t="shared" si="3"/>
        <v/>
      </c>
      <c r="Q58" s="411" t="str">
        <f t="shared" si="4"/>
        <v/>
      </c>
      <c r="R58" s="313"/>
      <c r="S58" s="314"/>
      <c r="T58" s="215" t="str">
        <f t="shared" si="5"/>
        <v/>
      </c>
      <c r="U58" s="216" t="str">
        <f t="shared" si="6"/>
        <v/>
      </c>
      <c r="V58" s="216" t="str">
        <f t="shared" si="7"/>
        <v/>
      </c>
      <c r="W58" s="216" t="str">
        <f t="shared" si="8"/>
        <v/>
      </c>
      <c r="X58" s="216" t="str">
        <f t="shared" si="9"/>
        <v/>
      </c>
      <c r="Y58" s="216" t="str">
        <f t="shared" si="10"/>
        <v/>
      </c>
      <c r="Z58" s="216" t="str">
        <f t="shared" si="11"/>
        <v/>
      </c>
      <c r="AA58" s="216" t="str">
        <f t="shared" si="12"/>
        <v/>
      </c>
      <c r="AB58" s="217" t="str">
        <f t="shared" si="15"/>
        <v/>
      </c>
      <c r="AC58" s="218" t="str">
        <f t="shared" si="16"/>
        <v/>
      </c>
      <c r="AD58" s="317"/>
      <c r="AI58" s="634"/>
      <c r="AJ58" s="173" t="s">
        <v>640</v>
      </c>
      <c r="AK58" s="447">
        <v>0</v>
      </c>
      <c r="AL58" s="447">
        <v>0.1</v>
      </c>
      <c r="AM58" s="447">
        <v>0.1</v>
      </c>
      <c r="AN58" s="447">
        <v>0.11</v>
      </c>
      <c r="AO58" s="447">
        <v>0.14000000000000001</v>
      </c>
      <c r="AP58" s="108"/>
      <c r="AQ58" s="108"/>
      <c r="AR58" s="174" t="str">
        <f>"ft"&amp;CHAR(178)</f>
        <v>ft²</v>
      </c>
    </row>
    <row r="59" spans="2:47" x14ac:dyDescent="0.35">
      <c r="B59" s="96">
        <v>25</v>
      </c>
      <c r="C59" s="304"/>
      <c r="D59" s="302"/>
      <c r="E59" s="302"/>
      <c r="F59" s="644"/>
      <c r="G59" s="645"/>
      <c r="H59" s="408" t="str">
        <f t="shared" si="19"/>
        <v/>
      </c>
      <c r="I59" s="408" t="str">
        <f t="shared" si="20"/>
        <v/>
      </c>
      <c r="J59" s="311"/>
      <c r="K59" s="409" t="str">
        <f t="shared" si="0"/>
        <v/>
      </c>
      <c r="L59" s="406" t="str">
        <f t="shared" si="1"/>
        <v/>
      </c>
      <c r="M59" s="407" t="str">
        <f t="shared" si="2"/>
        <v/>
      </c>
      <c r="N59" s="312"/>
      <c r="O59" s="302"/>
      <c r="P59" s="411" t="str">
        <f t="shared" si="3"/>
        <v/>
      </c>
      <c r="Q59" s="411" t="str">
        <f t="shared" si="4"/>
        <v/>
      </c>
      <c r="R59" s="313"/>
      <c r="S59" s="314"/>
      <c r="T59" s="215" t="str">
        <f t="shared" si="5"/>
        <v/>
      </c>
      <c r="U59" s="216" t="str">
        <f t="shared" si="6"/>
        <v/>
      </c>
      <c r="V59" s="216" t="str">
        <f t="shared" si="7"/>
        <v/>
      </c>
      <c r="W59" s="216" t="str">
        <f t="shared" si="8"/>
        <v/>
      </c>
      <c r="X59" s="216" t="str">
        <f t="shared" si="9"/>
        <v/>
      </c>
      <c r="Y59" s="216" t="str">
        <f t="shared" si="10"/>
        <v/>
      </c>
      <c r="Z59" s="216" t="str">
        <f t="shared" si="11"/>
        <v/>
      </c>
      <c r="AA59" s="216" t="str">
        <f t="shared" si="12"/>
        <v/>
      </c>
      <c r="AB59" s="217" t="str">
        <f t="shared" si="15"/>
        <v/>
      </c>
      <c r="AC59" s="218" t="str">
        <f t="shared" si="16"/>
        <v/>
      </c>
      <c r="AD59" s="317"/>
      <c r="AI59" s="634"/>
      <c r="AJ59" s="173" t="s">
        <v>558</v>
      </c>
      <c r="AK59" s="446">
        <v>0</v>
      </c>
      <c r="AL59" s="446">
        <v>0.6</v>
      </c>
      <c r="AM59" s="446">
        <v>0.7</v>
      </c>
      <c r="AN59" s="446">
        <v>0.7</v>
      </c>
      <c r="AO59" s="446">
        <v>0.7</v>
      </c>
      <c r="AP59" s="108"/>
      <c r="AQ59" s="108"/>
      <c r="AR59" s="174" t="str">
        <f>"ft"&amp;CHAR(178)</f>
        <v>ft²</v>
      </c>
    </row>
    <row r="60" spans="2:47" x14ac:dyDescent="0.35">
      <c r="B60" s="96">
        <v>26</v>
      </c>
      <c r="C60" s="304"/>
      <c r="D60" s="302"/>
      <c r="E60" s="302"/>
      <c r="F60" s="644"/>
      <c r="G60" s="645"/>
      <c r="H60" s="408" t="str">
        <f t="shared" si="19"/>
        <v/>
      </c>
      <c r="I60" s="408" t="str">
        <f t="shared" si="20"/>
        <v/>
      </c>
      <c r="J60" s="311"/>
      <c r="K60" s="409" t="str">
        <f t="shared" si="0"/>
        <v/>
      </c>
      <c r="L60" s="406" t="str">
        <f t="shared" si="1"/>
        <v/>
      </c>
      <c r="M60" s="407" t="str">
        <f t="shared" si="2"/>
        <v/>
      </c>
      <c r="N60" s="312"/>
      <c r="O60" s="302"/>
      <c r="P60" s="411" t="str">
        <f t="shared" si="3"/>
        <v/>
      </c>
      <c r="Q60" s="411" t="str">
        <f t="shared" si="4"/>
        <v/>
      </c>
      <c r="R60" s="313"/>
      <c r="S60" s="314"/>
      <c r="T60" s="215" t="str">
        <f t="shared" si="5"/>
        <v/>
      </c>
      <c r="U60" s="216" t="str">
        <f t="shared" si="6"/>
        <v/>
      </c>
      <c r="V60" s="216" t="str">
        <f t="shared" si="7"/>
        <v/>
      </c>
      <c r="W60" s="216" t="str">
        <f t="shared" si="8"/>
        <v/>
      </c>
      <c r="X60" s="216" t="str">
        <f t="shared" si="9"/>
        <v/>
      </c>
      <c r="Y60" s="216" t="str">
        <f t="shared" si="10"/>
        <v/>
      </c>
      <c r="Z60" s="216" t="str">
        <f t="shared" si="11"/>
        <v/>
      </c>
      <c r="AA60" s="216" t="str">
        <f t="shared" si="12"/>
        <v/>
      </c>
      <c r="AB60" s="217" t="str">
        <f t="shared" si="15"/>
        <v/>
      </c>
      <c r="AC60" s="218" t="str">
        <f t="shared" si="16"/>
        <v/>
      </c>
      <c r="AD60" s="317"/>
      <c r="AI60" s="634"/>
      <c r="AJ60" s="173" t="s">
        <v>559</v>
      </c>
      <c r="AK60" s="447">
        <v>0</v>
      </c>
      <c r="AL60" s="447">
        <v>0.12</v>
      </c>
      <c r="AM60" s="447">
        <v>0.12</v>
      </c>
      <c r="AN60" s="447">
        <v>0.14000000000000001</v>
      </c>
      <c r="AO60" s="447">
        <v>0.21</v>
      </c>
      <c r="AP60" s="108"/>
      <c r="AQ60" s="108"/>
      <c r="AR60" s="174" t="str">
        <f>"ft"&amp;CHAR(178)</f>
        <v>ft²</v>
      </c>
    </row>
    <row r="61" spans="2:47" x14ac:dyDescent="0.35">
      <c r="B61" s="96">
        <v>27</v>
      </c>
      <c r="C61" s="304"/>
      <c r="D61" s="302"/>
      <c r="E61" s="302"/>
      <c r="F61" s="644"/>
      <c r="G61" s="645"/>
      <c r="H61" s="408" t="str">
        <f t="shared" si="19"/>
        <v/>
      </c>
      <c r="I61" s="408" t="str">
        <f t="shared" si="20"/>
        <v/>
      </c>
      <c r="J61" s="311"/>
      <c r="K61" s="409" t="str">
        <f t="shared" si="0"/>
        <v/>
      </c>
      <c r="L61" s="406" t="str">
        <f t="shared" si="1"/>
        <v/>
      </c>
      <c r="M61" s="407" t="str">
        <f t="shared" si="2"/>
        <v/>
      </c>
      <c r="N61" s="312"/>
      <c r="O61" s="302"/>
      <c r="P61" s="411" t="str">
        <f t="shared" si="3"/>
        <v/>
      </c>
      <c r="Q61" s="411" t="str">
        <f t="shared" si="4"/>
        <v/>
      </c>
      <c r="R61" s="313"/>
      <c r="S61" s="314"/>
      <c r="T61" s="215" t="str">
        <f t="shared" si="5"/>
        <v/>
      </c>
      <c r="U61" s="216" t="str">
        <f t="shared" si="6"/>
        <v/>
      </c>
      <c r="V61" s="216" t="str">
        <f t="shared" si="7"/>
        <v/>
      </c>
      <c r="W61" s="216" t="str">
        <f t="shared" si="8"/>
        <v/>
      </c>
      <c r="X61" s="216" t="str">
        <f t="shared" si="9"/>
        <v/>
      </c>
      <c r="Y61" s="216" t="str">
        <f t="shared" si="10"/>
        <v/>
      </c>
      <c r="Z61" s="216" t="str">
        <f t="shared" si="11"/>
        <v/>
      </c>
      <c r="AA61" s="216" t="str">
        <f t="shared" si="12"/>
        <v/>
      </c>
      <c r="AB61" s="217" t="str">
        <f t="shared" si="15"/>
        <v/>
      </c>
      <c r="AC61" s="218" t="str">
        <f t="shared" si="16"/>
        <v/>
      </c>
      <c r="AD61" s="317"/>
      <c r="AI61" s="634"/>
      <c r="AJ61" s="173" t="s">
        <v>560</v>
      </c>
      <c r="AK61" s="446">
        <v>0</v>
      </c>
      <c r="AL61" s="446">
        <v>0.03</v>
      </c>
      <c r="AM61" s="446">
        <v>0.04</v>
      </c>
      <c r="AN61" s="446">
        <v>0.04</v>
      </c>
      <c r="AO61" s="446">
        <v>0.04</v>
      </c>
      <c r="AP61" s="108"/>
      <c r="AQ61" s="108"/>
      <c r="AR61" s="174" t="str">
        <f>"ft"&amp;CHAR(178)</f>
        <v>ft²</v>
      </c>
    </row>
    <row r="62" spans="2:47" x14ac:dyDescent="0.35">
      <c r="B62" s="96">
        <v>28</v>
      </c>
      <c r="C62" s="304"/>
      <c r="D62" s="302"/>
      <c r="E62" s="302"/>
      <c r="F62" s="644"/>
      <c r="G62" s="645"/>
      <c r="H62" s="408" t="str">
        <f t="shared" si="19"/>
        <v/>
      </c>
      <c r="I62" s="408" t="str">
        <f t="shared" si="20"/>
        <v/>
      </c>
      <c r="J62" s="311"/>
      <c r="K62" s="409" t="str">
        <f t="shared" si="0"/>
        <v/>
      </c>
      <c r="L62" s="406" t="str">
        <f t="shared" si="1"/>
        <v/>
      </c>
      <c r="M62" s="407" t="str">
        <f t="shared" si="2"/>
        <v/>
      </c>
      <c r="N62" s="312"/>
      <c r="O62" s="302"/>
      <c r="P62" s="411" t="str">
        <f t="shared" si="3"/>
        <v/>
      </c>
      <c r="Q62" s="411" t="str">
        <f t="shared" si="4"/>
        <v/>
      </c>
      <c r="R62" s="313"/>
      <c r="S62" s="314"/>
      <c r="T62" s="215" t="str">
        <f t="shared" si="5"/>
        <v/>
      </c>
      <c r="U62" s="216" t="str">
        <f t="shared" si="6"/>
        <v/>
      </c>
      <c r="V62" s="216" t="str">
        <f t="shared" si="7"/>
        <v/>
      </c>
      <c r="W62" s="216" t="str">
        <f t="shared" si="8"/>
        <v/>
      </c>
      <c r="X62" s="216" t="str">
        <f t="shared" si="9"/>
        <v/>
      </c>
      <c r="Y62" s="216" t="str">
        <f t="shared" si="10"/>
        <v/>
      </c>
      <c r="Z62" s="216" t="str">
        <f t="shared" si="11"/>
        <v/>
      </c>
      <c r="AA62" s="216" t="str">
        <f t="shared" si="12"/>
        <v/>
      </c>
      <c r="AB62" s="217" t="str">
        <f t="shared" si="15"/>
        <v/>
      </c>
      <c r="AC62" s="218" t="str">
        <f t="shared" si="16"/>
        <v/>
      </c>
      <c r="AD62" s="317"/>
      <c r="AI62" s="634"/>
      <c r="AJ62" s="173" t="s">
        <v>638</v>
      </c>
      <c r="AK62" s="447">
        <v>0</v>
      </c>
      <c r="AL62" s="447">
        <v>14</v>
      </c>
      <c r="AM62" s="447">
        <v>14</v>
      </c>
      <c r="AN62" s="447">
        <v>21</v>
      </c>
      <c r="AO62" s="447">
        <v>21</v>
      </c>
      <c r="AP62" s="108" t="s">
        <v>636</v>
      </c>
      <c r="AQ62" s="108"/>
      <c r="AR62" s="174" t="s">
        <v>643</v>
      </c>
    </row>
    <row r="63" spans="2:47" x14ac:dyDescent="0.35">
      <c r="B63" s="96">
        <v>29</v>
      </c>
      <c r="C63" s="304"/>
      <c r="D63" s="302"/>
      <c r="E63" s="302"/>
      <c r="F63" s="644"/>
      <c r="G63" s="645"/>
      <c r="H63" s="408" t="str">
        <f t="shared" si="19"/>
        <v/>
      </c>
      <c r="I63" s="408" t="str">
        <f t="shared" si="20"/>
        <v/>
      </c>
      <c r="J63" s="311"/>
      <c r="K63" s="409" t="str">
        <f t="shared" si="0"/>
        <v/>
      </c>
      <c r="L63" s="406" t="str">
        <f t="shared" si="1"/>
        <v/>
      </c>
      <c r="M63" s="407" t="str">
        <f t="shared" si="2"/>
        <v/>
      </c>
      <c r="N63" s="312"/>
      <c r="O63" s="302"/>
      <c r="P63" s="411" t="str">
        <f t="shared" si="3"/>
        <v/>
      </c>
      <c r="Q63" s="411" t="str">
        <f t="shared" si="4"/>
        <v/>
      </c>
      <c r="R63" s="313"/>
      <c r="S63" s="314"/>
      <c r="T63" s="215" t="str">
        <f t="shared" si="5"/>
        <v/>
      </c>
      <c r="U63" s="216" t="str">
        <f t="shared" si="6"/>
        <v/>
      </c>
      <c r="V63" s="216" t="str">
        <f t="shared" si="7"/>
        <v/>
      </c>
      <c r="W63" s="216" t="str">
        <f t="shared" si="8"/>
        <v/>
      </c>
      <c r="X63" s="216" t="str">
        <f t="shared" si="9"/>
        <v/>
      </c>
      <c r="Y63" s="216" t="str">
        <f t="shared" si="10"/>
        <v/>
      </c>
      <c r="Z63" s="216" t="str">
        <f t="shared" si="11"/>
        <v/>
      </c>
      <c r="AA63" s="216" t="str">
        <f t="shared" si="12"/>
        <v/>
      </c>
      <c r="AB63" s="217" t="str">
        <f t="shared" si="15"/>
        <v/>
      </c>
      <c r="AC63" s="218" t="str">
        <f t="shared" si="16"/>
        <v/>
      </c>
      <c r="AD63" s="317"/>
      <c r="AI63" s="634"/>
      <c r="AJ63" s="173" t="s">
        <v>561</v>
      </c>
      <c r="AK63" s="446">
        <v>0</v>
      </c>
      <c r="AL63" s="446">
        <v>0.65</v>
      </c>
      <c r="AM63" s="446">
        <v>0.65</v>
      </c>
      <c r="AN63" s="446">
        <v>0.75</v>
      </c>
      <c r="AO63" s="446">
        <v>0.95</v>
      </c>
      <c r="AP63" s="108"/>
      <c r="AQ63" s="108"/>
      <c r="AR63" s="174" t="str">
        <f>"ft"&amp;CHAR(178)</f>
        <v>ft²</v>
      </c>
    </row>
    <row r="64" spans="2:47" x14ac:dyDescent="0.35">
      <c r="B64" s="96">
        <v>30</v>
      </c>
      <c r="C64" s="304"/>
      <c r="D64" s="302"/>
      <c r="E64" s="302"/>
      <c r="F64" s="644"/>
      <c r="G64" s="645"/>
      <c r="H64" s="408" t="str">
        <f t="shared" si="19"/>
        <v/>
      </c>
      <c r="I64" s="408" t="str">
        <f t="shared" si="20"/>
        <v/>
      </c>
      <c r="J64" s="311"/>
      <c r="K64" s="409" t="str">
        <f t="shared" si="0"/>
        <v/>
      </c>
      <c r="L64" s="406" t="str">
        <f t="shared" si="1"/>
        <v/>
      </c>
      <c r="M64" s="407" t="str">
        <f t="shared" si="2"/>
        <v/>
      </c>
      <c r="N64" s="312"/>
      <c r="O64" s="302"/>
      <c r="P64" s="411" t="str">
        <f t="shared" si="3"/>
        <v/>
      </c>
      <c r="Q64" s="411" t="str">
        <f t="shared" si="4"/>
        <v/>
      </c>
      <c r="R64" s="313"/>
      <c r="S64" s="314"/>
      <c r="T64" s="215" t="str">
        <f t="shared" si="5"/>
        <v/>
      </c>
      <c r="U64" s="216" t="str">
        <f t="shared" si="6"/>
        <v/>
      </c>
      <c r="V64" s="216" t="str">
        <f t="shared" si="7"/>
        <v/>
      </c>
      <c r="W64" s="216" t="str">
        <f t="shared" si="8"/>
        <v/>
      </c>
      <c r="X64" s="216" t="str">
        <f t="shared" si="9"/>
        <v/>
      </c>
      <c r="Y64" s="216" t="str">
        <f t="shared" si="10"/>
        <v/>
      </c>
      <c r="Z64" s="216" t="str">
        <f t="shared" si="11"/>
        <v/>
      </c>
      <c r="AA64" s="216" t="str">
        <f t="shared" si="12"/>
        <v/>
      </c>
      <c r="AB64" s="217" t="str">
        <f t="shared" si="15"/>
        <v/>
      </c>
      <c r="AC64" s="218" t="str">
        <f t="shared" si="16"/>
        <v/>
      </c>
      <c r="AD64" s="317"/>
      <c r="AI64" s="634"/>
      <c r="AJ64" s="173" t="s">
        <v>562</v>
      </c>
      <c r="AK64" s="447">
        <v>0</v>
      </c>
      <c r="AL64" s="447">
        <v>0.2</v>
      </c>
      <c r="AM64" s="447">
        <v>0.25</v>
      </c>
      <c r="AN64" s="447">
        <v>0.4</v>
      </c>
      <c r="AO64" s="447">
        <v>0.4</v>
      </c>
      <c r="AP64" s="108"/>
      <c r="AQ64" s="108"/>
      <c r="AR64" s="174" t="str">
        <f>"ft"&amp;CHAR(178)</f>
        <v>ft²</v>
      </c>
    </row>
    <row r="65" spans="2:45" x14ac:dyDescent="0.35">
      <c r="B65" s="96">
        <v>31</v>
      </c>
      <c r="C65" s="304"/>
      <c r="D65" s="302"/>
      <c r="E65" s="302"/>
      <c r="F65" s="644"/>
      <c r="G65" s="645"/>
      <c r="H65" s="408" t="str">
        <f t="shared" si="19"/>
        <v/>
      </c>
      <c r="I65" s="408" t="str">
        <f t="shared" si="20"/>
        <v/>
      </c>
      <c r="J65" s="311"/>
      <c r="K65" s="409" t="str">
        <f t="shared" si="0"/>
        <v/>
      </c>
      <c r="L65" s="406" t="str">
        <f t="shared" si="1"/>
        <v/>
      </c>
      <c r="M65" s="407" t="str">
        <f t="shared" si="2"/>
        <v/>
      </c>
      <c r="N65" s="312"/>
      <c r="O65" s="302"/>
      <c r="P65" s="411" t="str">
        <f t="shared" si="3"/>
        <v/>
      </c>
      <c r="Q65" s="411" t="str">
        <f t="shared" si="4"/>
        <v/>
      </c>
      <c r="R65" s="313"/>
      <c r="S65" s="314"/>
      <c r="T65" s="215" t="str">
        <f t="shared" si="5"/>
        <v/>
      </c>
      <c r="U65" s="216" t="str">
        <f t="shared" si="6"/>
        <v/>
      </c>
      <c r="V65" s="216" t="str">
        <f t="shared" si="7"/>
        <v/>
      </c>
      <c r="W65" s="216" t="str">
        <f t="shared" si="8"/>
        <v/>
      </c>
      <c r="X65" s="216" t="str">
        <f t="shared" si="9"/>
        <v/>
      </c>
      <c r="Y65" s="216" t="str">
        <f t="shared" si="10"/>
        <v/>
      </c>
      <c r="Z65" s="216" t="str">
        <f t="shared" si="11"/>
        <v/>
      </c>
      <c r="AA65" s="216" t="str">
        <f t="shared" si="12"/>
        <v/>
      </c>
      <c r="AB65" s="217" t="str">
        <f t="shared" si="15"/>
        <v/>
      </c>
      <c r="AC65" s="218" t="str">
        <f t="shared" si="16"/>
        <v/>
      </c>
      <c r="AD65" s="317"/>
      <c r="AI65" s="634"/>
      <c r="AJ65" s="173" t="s">
        <v>563</v>
      </c>
      <c r="AK65" s="446">
        <v>0</v>
      </c>
      <c r="AL65" s="446">
        <v>0.35</v>
      </c>
      <c r="AM65" s="446">
        <v>0.35</v>
      </c>
      <c r="AN65" s="446">
        <v>0.35</v>
      </c>
      <c r="AO65" s="446">
        <v>0.35</v>
      </c>
      <c r="AP65" s="108"/>
      <c r="AQ65" s="108"/>
      <c r="AR65" s="174" t="str">
        <f>"ft"&amp;CHAR(178)</f>
        <v>ft²</v>
      </c>
    </row>
    <row r="66" spans="2:45" ht="15.75" customHeight="1" x14ac:dyDescent="0.35">
      <c r="B66" s="96">
        <v>32</v>
      </c>
      <c r="C66" s="304"/>
      <c r="D66" s="302"/>
      <c r="E66" s="302"/>
      <c r="F66" s="644"/>
      <c r="G66" s="645"/>
      <c r="H66" s="408" t="str">
        <f t="shared" si="19"/>
        <v/>
      </c>
      <c r="I66" s="408" t="str">
        <f t="shared" si="20"/>
        <v/>
      </c>
      <c r="J66" s="311"/>
      <c r="K66" s="409" t="str">
        <f t="shared" si="0"/>
        <v/>
      </c>
      <c r="L66" s="406" t="str">
        <f t="shared" si="1"/>
        <v/>
      </c>
      <c r="M66" s="407" t="str">
        <f t="shared" si="2"/>
        <v/>
      </c>
      <c r="N66" s="312"/>
      <c r="O66" s="302"/>
      <c r="P66" s="411" t="str">
        <f t="shared" si="3"/>
        <v/>
      </c>
      <c r="Q66" s="411" t="str">
        <f t="shared" si="4"/>
        <v/>
      </c>
      <c r="R66" s="313"/>
      <c r="S66" s="314"/>
      <c r="T66" s="215" t="str">
        <f t="shared" si="5"/>
        <v/>
      </c>
      <c r="U66" s="216" t="str">
        <f t="shared" si="6"/>
        <v/>
      </c>
      <c r="V66" s="216" t="str">
        <f t="shared" si="7"/>
        <v/>
      </c>
      <c r="W66" s="216" t="str">
        <f t="shared" si="8"/>
        <v/>
      </c>
      <c r="X66" s="216" t="str">
        <f t="shared" si="9"/>
        <v/>
      </c>
      <c r="Y66" s="216" t="str">
        <f t="shared" si="10"/>
        <v/>
      </c>
      <c r="Z66" s="216" t="str">
        <f t="shared" si="11"/>
        <v/>
      </c>
      <c r="AA66" s="216" t="str">
        <f t="shared" si="12"/>
        <v/>
      </c>
      <c r="AB66" s="217" t="str">
        <f t="shared" si="15"/>
        <v/>
      </c>
      <c r="AC66" s="218" t="str">
        <f t="shared" si="16"/>
        <v/>
      </c>
      <c r="AD66" s="317"/>
      <c r="AI66" s="634"/>
      <c r="AJ66" s="173" t="s">
        <v>564</v>
      </c>
      <c r="AK66" s="447">
        <v>0</v>
      </c>
      <c r="AL66" s="447">
        <v>0.4</v>
      </c>
      <c r="AM66" s="447">
        <v>0.4</v>
      </c>
      <c r="AN66" s="447">
        <v>0.6</v>
      </c>
      <c r="AO66" s="447">
        <v>0.7</v>
      </c>
      <c r="AP66" s="108"/>
      <c r="AQ66" s="108"/>
      <c r="AR66" s="174" t="str">
        <f>"ft"&amp;CHAR(178)</f>
        <v>ft²</v>
      </c>
    </row>
    <row r="67" spans="2:45" ht="14.5" customHeight="1" x14ac:dyDescent="0.35">
      <c r="B67" s="96">
        <v>33</v>
      </c>
      <c r="C67" s="304"/>
      <c r="D67" s="302"/>
      <c r="E67" s="302"/>
      <c r="F67" s="644"/>
      <c r="G67" s="645"/>
      <c r="H67" s="408" t="str">
        <f t="shared" si="19"/>
        <v/>
      </c>
      <c r="I67" s="408" t="str">
        <f t="shared" si="20"/>
        <v/>
      </c>
      <c r="J67" s="311"/>
      <c r="K67" s="409" t="str">
        <f t="shared" ref="K67:K98" si="21">IFERROR(IF(IntExt="Interior",sqft,VLOOKUP(SpaceType,ExteriorTable,9,FALSE)),"")</f>
        <v/>
      </c>
      <c r="L67" s="406" t="str">
        <f t="shared" ref="L67:L98" si="22">IF(ISBLANK(SpaceType),"",(IF(IntExt="Interior",VLOOKUP(SpaceType,InteriorTable,5,FALSE),IF(IntExt="Exterior",VLOOKUP(SpaceType,ExteriorTable,LightingZone+2,FALSE),"ERROR"))))</f>
        <v/>
      </c>
      <c r="M67" s="407" t="str">
        <f t="shared" ref="M67:M98" si="23">IFERROR(LPDb*AreaSize/1000,"")</f>
        <v/>
      </c>
      <c r="N67" s="312"/>
      <c r="O67" s="302"/>
      <c r="P67" s="411" t="str">
        <f t="shared" ref="P67:P98" si="24">IFERROR(VLOOKUP(FixtureNum,FixtureTable,5,FALSE),"")</f>
        <v/>
      </c>
      <c r="Q67" s="411" t="str">
        <f t="shared" ref="Q67:Q98" si="25">IFERROR(WperFixture*ProposedQty/1000,"")</f>
        <v/>
      </c>
      <c r="R67" s="313"/>
      <c r="S67" s="314"/>
      <c r="T67" s="215" t="str">
        <f t="shared" ref="T67:T98" si="26">IFERROR(IF(IntExt="Interior",kWbase-kWee,""),"")</f>
        <v/>
      </c>
      <c r="U67" s="216" t="str">
        <f t="shared" ref="U67:U98" si="27">IFERROR(IF(IntExt="Exterior",kWbase-kWee,""),"")</f>
        <v/>
      </c>
      <c r="V67" s="216" t="str">
        <f t="shared" ref="V67:V98" si="28">IFERROR(IF(IntExt="Exterior",0,VLOOKUP(SpaceType,InteriorTable,2,FALSE)),"")</f>
        <v/>
      </c>
      <c r="W67" s="216" t="str">
        <f t="shared" ref="W67:W98" si="29">IFERROR(IF(OR(IntExt="Exterior",Cooling="Not Cooled"),1,VLOOKUP(SpaceType,InteriorTable,6,FALSE)),"")</f>
        <v/>
      </c>
      <c r="X67" s="216" t="str">
        <f t="shared" ref="X67:X98" si="30">IFERROR(IF(OR(IntExt="Exterior",Cooling="Not Cooled"),1,VLOOKUP(SpaceType,InteriorTable,7,FALSE)),"")</f>
        <v/>
      </c>
      <c r="Y67" s="216" t="str">
        <f t="shared" ref="Y67:Y98" si="31">IF(ISBLANK(IntExt),"",IFERROR(VLOOKUP(SpaceType,ESFtable,2,FALSE), IF(IntExt="Interior",VLOOKUP("Interior|Occupancy",ESFtable,2,FALSE),VLOOKUP("Exterior|Setback",ESFtable,2,FALSE))))</f>
        <v/>
      </c>
      <c r="Z67" s="216" t="str">
        <f t="shared" ref="Z67:Z98" si="32">IFERROR(VLOOKUP(IntExt&amp;"|"&amp;PropControlType,ESFtable,2,FALSE),ESFb)</f>
        <v/>
      </c>
      <c r="AA67" s="216" t="str">
        <f t="shared" ref="AA67:AA98" si="33">IF(IntExt="Interior",VLOOKUP(SpaceType,InteriorTable,3,FALSE),IF(IntExt="Exterior",VLOOKUP(IntExt,InteriorTable,3,FALSE),""))</f>
        <v/>
      </c>
      <c r="AB67" s="217" t="str">
        <f t="shared" ref="AB67:AB98" si="34">IFERROR((kWbase-kWee)*CF*WHFd,"")</f>
        <v/>
      </c>
      <c r="AC67" s="218" t="str">
        <f t="shared" ref="AC67:AC98" si="35">IFERROR(EFLH_deemed*WHFe*(kWbase*(1-ESFb)-kWee*(1-ESFee)),"")</f>
        <v/>
      </c>
      <c r="AD67" s="317"/>
      <c r="AI67" s="634"/>
      <c r="AJ67" s="173" t="s">
        <v>565</v>
      </c>
      <c r="AK67" s="446">
        <v>0</v>
      </c>
      <c r="AL67" s="446">
        <v>0.2</v>
      </c>
      <c r="AM67" s="446">
        <v>0.2</v>
      </c>
      <c r="AN67" s="446">
        <v>0.35</v>
      </c>
      <c r="AO67" s="446">
        <v>0.5</v>
      </c>
      <c r="AP67" s="108"/>
      <c r="AQ67" s="108"/>
      <c r="AR67" s="174" t="str">
        <f>"ft"&amp;CHAR(178)</f>
        <v>ft²</v>
      </c>
    </row>
    <row r="68" spans="2:45" ht="15.75" customHeight="1" x14ac:dyDescent="0.35">
      <c r="B68" s="96">
        <v>34</v>
      </c>
      <c r="C68" s="304"/>
      <c r="D68" s="302"/>
      <c r="E68" s="302"/>
      <c r="F68" s="644"/>
      <c r="G68" s="645"/>
      <c r="H68" s="408" t="str">
        <f t="shared" si="19"/>
        <v/>
      </c>
      <c r="I68" s="408" t="str">
        <f t="shared" si="20"/>
        <v/>
      </c>
      <c r="J68" s="311"/>
      <c r="K68" s="409" t="str">
        <f t="shared" si="21"/>
        <v/>
      </c>
      <c r="L68" s="406" t="str">
        <f t="shared" si="22"/>
        <v/>
      </c>
      <c r="M68" s="407" t="str">
        <f t="shared" si="23"/>
        <v/>
      </c>
      <c r="N68" s="312"/>
      <c r="O68" s="302"/>
      <c r="P68" s="411" t="str">
        <f t="shared" si="24"/>
        <v/>
      </c>
      <c r="Q68" s="411" t="str">
        <f t="shared" si="25"/>
        <v/>
      </c>
      <c r="R68" s="313"/>
      <c r="S68" s="314"/>
      <c r="T68" s="215" t="str">
        <f t="shared" si="26"/>
        <v/>
      </c>
      <c r="U68" s="216" t="str">
        <f t="shared" si="27"/>
        <v/>
      </c>
      <c r="V68" s="216" t="str">
        <f t="shared" si="28"/>
        <v/>
      </c>
      <c r="W68" s="216" t="str">
        <f t="shared" si="29"/>
        <v/>
      </c>
      <c r="X68" s="216" t="str">
        <f t="shared" si="30"/>
        <v/>
      </c>
      <c r="Y68" s="216" t="str">
        <f t="shared" si="31"/>
        <v/>
      </c>
      <c r="Z68" s="216" t="str">
        <f t="shared" si="32"/>
        <v/>
      </c>
      <c r="AA68" s="216" t="str">
        <f t="shared" si="33"/>
        <v/>
      </c>
      <c r="AB68" s="217" t="str">
        <f t="shared" si="34"/>
        <v/>
      </c>
      <c r="AC68" s="218" t="str">
        <f t="shared" si="35"/>
        <v/>
      </c>
      <c r="AD68" s="317"/>
      <c r="AI68" s="635"/>
      <c r="AJ68" s="173" t="s">
        <v>566</v>
      </c>
      <c r="AK68" s="447">
        <v>0</v>
      </c>
      <c r="AL68" s="447">
        <v>0</v>
      </c>
      <c r="AM68" s="447">
        <v>7</v>
      </c>
      <c r="AN68" s="447">
        <v>7</v>
      </c>
      <c r="AO68" s="447">
        <v>21</v>
      </c>
      <c r="AP68" s="108" t="s">
        <v>637</v>
      </c>
      <c r="AQ68" s="108"/>
      <c r="AR68" s="174" t="s">
        <v>557</v>
      </c>
    </row>
    <row r="69" spans="2:45" x14ac:dyDescent="0.35">
      <c r="B69" s="96">
        <v>35</v>
      </c>
      <c r="C69" s="304"/>
      <c r="D69" s="302"/>
      <c r="E69" s="302"/>
      <c r="F69" s="644"/>
      <c r="G69" s="645"/>
      <c r="H69" s="408" t="str">
        <f t="shared" si="19"/>
        <v/>
      </c>
      <c r="I69" s="408" t="str">
        <f t="shared" si="20"/>
        <v/>
      </c>
      <c r="J69" s="311"/>
      <c r="K69" s="409" t="str">
        <f t="shared" si="21"/>
        <v/>
      </c>
      <c r="L69" s="406" t="str">
        <f t="shared" si="22"/>
        <v/>
      </c>
      <c r="M69" s="407" t="str">
        <f t="shared" si="23"/>
        <v/>
      </c>
      <c r="N69" s="312"/>
      <c r="O69" s="302"/>
      <c r="P69" s="411" t="str">
        <f t="shared" si="24"/>
        <v/>
      </c>
      <c r="Q69" s="411" t="str">
        <f t="shared" si="25"/>
        <v/>
      </c>
      <c r="R69" s="313"/>
      <c r="S69" s="314"/>
      <c r="T69" s="215" t="str">
        <f t="shared" si="26"/>
        <v/>
      </c>
      <c r="U69" s="216" t="str">
        <f t="shared" si="27"/>
        <v/>
      </c>
      <c r="V69" s="216" t="str">
        <f t="shared" si="28"/>
        <v/>
      </c>
      <c r="W69" s="216" t="str">
        <f t="shared" si="29"/>
        <v/>
      </c>
      <c r="X69" s="216" t="str">
        <f t="shared" si="30"/>
        <v/>
      </c>
      <c r="Y69" s="216" t="str">
        <f t="shared" si="31"/>
        <v/>
      </c>
      <c r="Z69" s="216" t="str">
        <f t="shared" si="32"/>
        <v/>
      </c>
      <c r="AA69" s="216" t="str">
        <f t="shared" si="33"/>
        <v/>
      </c>
      <c r="AB69" s="217" t="str">
        <f t="shared" si="34"/>
        <v/>
      </c>
      <c r="AC69" s="218" t="str">
        <f t="shared" si="35"/>
        <v/>
      </c>
      <c r="AD69" s="317"/>
      <c r="AI69" s="636" t="s">
        <v>628</v>
      </c>
      <c r="AJ69" s="173" t="s">
        <v>639</v>
      </c>
      <c r="AK69" s="446">
        <v>0</v>
      </c>
      <c r="AL69" s="446">
        <v>0</v>
      </c>
      <c r="AM69" s="446">
        <v>7.4999999999999997E-2</v>
      </c>
      <c r="AN69" s="446">
        <v>0.113</v>
      </c>
      <c r="AO69" s="446">
        <v>0.15</v>
      </c>
      <c r="AP69" s="108"/>
      <c r="AQ69" s="108" t="s">
        <v>567</v>
      </c>
      <c r="AR69" s="174" t="str">
        <f>"ft"&amp;CHAR(178)</f>
        <v>ft²</v>
      </c>
    </row>
    <row r="70" spans="2:45" x14ac:dyDescent="0.35">
      <c r="B70" s="96">
        <v>36</v>
      </c>
      <c r="C70" s="304"/>
      <c r="D70" s="302"/>
      <c r="E70" s="302"/>
      <c r="F70" s="644"/>
      <c r="G70" s="645"/>
      <c r="H70" s="408" t="str">
        <f t="shared" si="19"/>
        <v/>
      </c>
      <c r="I70" s="408" t="str">
        <f t="shared" si="20"/>
        <v/>
      </c>
      <c r="J70" s="311"/>
      <c r="K70" s="409" t="str">
        <f t="shared" si="21"/>
        <v/>
      </c>
      <c r="L70" s="406" t="str">
        <f t="shared" si="22"/>
        <v/>
      </c>
      <c r="M70" s="407" t="str">
        <f t="shared" si="23"/>
        <v/>
      </c>
      <c r="N70" s="312"/>
      <c r="O70" s="302"/>
      <c r="P70" s="411" t="str">
        <f t="shared" si="24"/>
        <v/>
      </c>
      <c r="Q70" s="411" t="str">
        <f t="shared" si="25"/>
        <v/>
      </c>
      <c r="R70" s="313"/>
      <c r="S70" s="314"/>
      <c r="T70" s="215" t="str">
        <f t="shared" si="26"/>
        <v/>
      </c>
      <c r="U70" s="216" t="str">
        <f t="shared" si="27"/>
        <v/>
      </c>
      <c r="V70" s="216" t="str">
        <f t="shared" si="28"/>
        <v/>
      </c>
      <c r="W70" s="216" t="str">
        <f t="shared" si="29"/>
        <v/>
      </c>
      <c r="X70" s="216" t="str">
        <f t="shared" si="30"/>
        <v/>
      </c>
      <c r="Y70" s="216" t="str">
        <f t="shared" si="31"/>
        <v/>
      </c>
      <c r="Z70" s="216" t="str">
        <f t="shared" si="32"/>
        <v/>
      </c>
      <c r="AA70" s="216" t="str">
        <f t="shared" si="33"/>
        <v/>
      </c>
      <c r="AB70" s="217" t="str">
        <f t="shared" si="34"/>
        <v/>
      </c>
      <c r="AC70" s="218" t="str">
        <f t="shared" si="35"/>
        <v/>
      </c>
      <c r="AD70" s="317"/>
      <c r="AI70" s="637"/>
      <c r="AJ70" s="173" t="s">
        <v>568</v>
      </c>
      <c r="AK70" s="447">
        <v>0</v>
      </c>
      <c r="AL70" s="447">
        <v>0.5</v>
      </c>
      <c r="AM70" s="447">
        <v>0.5</v>
      </c>
      <c r="AN70" s="447">
        <v>0.5</v>
      </c>
      <c r="AO70" s="447">
        <v>0.5</v>
      </c>
      <c r="AP70" s="448"/>
      <c r="AQ70" s="108" t="s">
        <v>567</v>
      </c>
      <c r="AR70" s="175" t="s">
        <v>1027</v>
      </c>
    </row>
    <row r="71" spans="2:45" x14ac:dyDescent="0.35">
      <c r="B71" s="96">
        <v>37</v>
      </c>
      <c r="C71" s="304"/>
      <c r="D71" s="302"/>
      <c r="E71" s="302"/>
      <c r="F71" s="644"/>
      <c r="G71" s="645"/>
      <c r="H71" s="408" t="str">
        <f t="shared" si="19"/>
        <v/>
      </c>
      <c r="I71" s="408" t="str">
        <f t="shared" si="20"/>
        <v/>
      </c>
      <c r="J71" s="311"/>
      <c r="K71" s="409" t="str">
        <f t="shared" si="21"/>
        <v/>
      </c>
      <c r="L71" s="406" t="str">
        <f t="shared" si="22"/>
        <v/>
      </c>
      <c r="M71" s="407" t="str">
        <f t="shared" si="23"/>
        <v/>
      </c>
      <c r="N71" s="312"/>
      <c r="O71" s="302"/>
      <c r="P71" s="411" t="str">
        <f t="shared" si="24"/>
        <v/>
      </c>
      <c r="Q71" s="411" t="str">
        <f t="shared" si="25"/>
        <v/>
      </c>
      <c r="R71" s="313"/>
      <c r="S71" s="314"/>
      <c r="T71" s="215" t="str">
        <f t="shared" si="26"/>
        <v/>
      </c>
      <c r="U71" s="216" t="str">
        <f t="shared" si="27"/>
        <v/>
      </c>
      <c r="V71" s="216" t="str">
        <f t="shared" si="28"/>
        <v/>
      </c>
      <c r="W71" s="216" t="str">
        <f t="shared" si="29"/>
        <v/>
      </c>
      <c r="X71" s="216" t="str">
        <f t="shared" si="30"/>
        <v/>
      </c>
      <c r="Y71" s="216" t="str">
        <f t="shared" si="31"/>
        <v/>
      </c>
      <c r="Z71" s="216" t="str">
        <f t="shared" si="32"/>
        <v/>
      </c>
      <c r="AA71" s="216" t="str">
        <f t="shared" si="33"/>
        <v/>
      </c>
      <c r="AB71" s="217" t="str">
        <f t="shared" si="34"/>
        <v/>
      </c>
      <c r="AC71" s="218" t="str">
        <f t="shared" si="35"/>
        <v/>
      </c>
      <c r="AD71" s="317"/>
      <c r="AI71" s="637"/>
      <c r="AJ71" s="173" t="s">
        <v>642</v>
      </c>
      <c r="AK71" s="446">
        <v>0</v>
      </c>
      <c r="AL71" s="446">
        <v>0.35</v>
      </c>
      <c r="AM71" s="446">
        <v>0.35</v>
      </c>
      <c r="AN71" s="446">
        <v>0.35</v>
      </c>
      <c r="AO71" s="446">
        <v>0.35</v>
      </c>
      <c r="AP71" s="108"/>
      <c r="AQ71" s="108" t="s">
        <v>569</v>
      </c>
      <c r="AR71" s="174" t="str">
        <f>"ft"&amp;CHAR(178)</f>
        <v>ft²</v>
      </c>
    </row>
    <row r="72" spans="2:45" x14ac:dyDescent="0.35">
      <c r="B72" s="96">
        <v>38</v>
      </c>
      <c r="C72" s="304"/>
      <c r="D72" s="302"/>
      <c r="E72" s="302"/>
      <c r="F72" s="644"/>
      <c r="G72" s="645"/>
      <c r="H72" s="408" t="str">
        <f t="shared" si="19"/>
        <v/>
      </c>
      <c r="I72" s="408" t="str">
        <f t="shared" si="20"/>
        <v/>
      </c>
      <c r="J72" s="311"/>
      <c r="K72" s="409" t="str">
        <f t="shared" si="21"/>
        <v/>
      </c>
      <c r="L72" s="406" t="str">
        <f t="shared" si="22"/>
        <v/>
      </c>
      <c r="M72" s="407" t="str">
        <f t="shared" si="23"/>
        <v/>
      </c>
      <c r="N72" s="312"/>
      <c r="O72" s="302"/>
      <c r="P72" s="411" t="str">
        <f t="shared" si="24"/>
        <v/>
      </c>
      <c r="Q72" s="411" t="str">
        <f t="shared" si="25"/>
        <v/>
      </c>
      <c r="R72" s="313"/>
      <c r="S72" s="314"/>
      <c r="T72" s="215" t="str">
        <f t="shared" si="26"/>
        <v/>
      </c>
      <c r="U72" s="216" t="str">
        <f t="shared" si="27"/>
        <v/>
      </c>
      <c r="V72" s="216" t="str">
        <f t="shared" si="28"/>
        <v/>
      </c>
      <c r="W72" s="216" t="str">
        <f t="shared" si="29"/>
        <v/>
      </c>
      <c r="X72" s="216" t="str">
        <f t="shared" si="30"/>
        <v/>
      </c>
      <c r="Y72" s="216" t="str">
        <f t="shared" si="31"/>
        <v/>
      </c>
      <c r="Z72" s="216" t="str">
        <f t="shared" si="32"/>
        <v/>
      </c>
      <c r="AA72" s="216" t="str">
        <f t="shared" si="33"/>
        <v/>
      </c>
      <c r="AB72" s="217" t="str">
        <f t="shared" si="34"/>
        <v/>
      </c>
      <c r="AC72" s="218" t="str">
        <f t="shared" si="35"/>
        <v/>
      </c>
      <c r="AD72" s="317"/>
      <c r="AI72" s="637"/>
      <c r="AJ72" s="173" t="s">
        <v>570</v>
      </c>
      <c r="AK72" s="447">
        <v>0</v>
      </c>
      <c r="AL72" s="447">
        <v>200</v>
      </c>
      <c r="AM72" s="447">
        <v>200</v>
      </c>
      <c r="AN72" s="447">
        <v>200</v>
      </c>
      <c r="AO72" s="447">
        <v>200</v>
      </c>
      <c r="AP72" s="448" t="s">
        <v>572</v>
      </c>
      <c r="AQ72" s="108"/>
      <c r="AR72" s="450" t="s">
        <v>573</v>
      </c>
    </row>
    <row r="73" spans="2:45" x14ac:dyDescent="0.35">
      <c r="B73" s="96">
        <v>39</v>
      </c>
      <c r="C73" s="304"/>
      <c r="D73" s="302"/>
      <c r="E73" s="302"/>
      <c r="F73" s="644"/>
      <c r="G73" s="645"/>
      <c r="H73" s="408" t="str">
        <f t="shared" si="19"/>
        <v/>
      </c>
      <c r="I73" s="408" t="str">
        <f t="shared" si="20"/>
        <v/>
      </c>
      <c r="J73" s="311"/>
      <c r="K73" s="409" t="str">
        <f t="shared" si="21"/>
        <v/>
      </c>
      <c r="L73" s="406" t="str">
        <f t="shared" si="22"/>
        <v/>
      </c>
      <c r="M73" s="407" t="str">
        <f t="shared" si="23"/>
        <v/>
      </c>
      <c r="N73" s="312"/>
      <c r="O73" s="302"/>
      <c r="P73" s="411" t="str">
        <f t="shared" si="24"/>
        <v/>
      </c>
      <c r="Q73" s="411" t="str">
        <f t="shared" si="25"/>
        <v/>
      </c>
      <c r="R73" s="313"/>
      <c r="S73" s="314"/>
      <c r="T73" s="215" t="str">
        <f t="shared" si="26"/>
        <v/>
      </c>
      <c r="U73" s="216" t="str">
        <f t="shared" si="27"/>
        <v/>
      </c>
      <c r="V73" s="216" t="str">
        <f t="shared" si="28"/>
        <v/>
      </c>
      <c r="W73" s="216" t="str">
        <f t="shared" si="29"/>
        <v/>
      </c>
      <c r="X73" s="216" t="str">
        <f t="shared" si="30"/>
        <v/>
      </c>
      <c r="Y73" s="216" t="str">
        <f t="shared" si="31"/>
        <v/>
      </c>
      <c r="Z73" s="216" t="str">
        <f t="shared" si="32"/>
        <v/>
      </c>
      <c r="AA73" s="216" t="str">
        <f t="shared" si="33"/>
        <v/>
      </c>
      <c r="AB73" s="217" t="str">
        <f t="shared" si="34"/>
        <v/>
      </c>
      <c r="AC73" s="218" t="str">
        <f t="shared" si="35"/>
        <v/>
      </c>
      <c r="AD73" s="317"/>
      <c r="AI73" s="637"/>
      <c r="AJ73" s="173" t="s">
        <v>571</v>
      </c>
      <c r="AK73" s="446">
        <v>0</v>
      </c>
      <c r="AL73" s="446">
        <v>400</v>
      </c>
      <c r="AM73" s="446">
        <v>400</v>
      </c>
      <c r="AN73" s="446">
        <v>400</v>
      </c>
      <c r="AO73" s="446">
        <v>400</v>
      </c>
      <c r="AP73" s="108" t="s">
        <v>572</v>
      </c>
      <c r="AQ73" s="108"/>
      <c r="AR73" s="450" t="s">
        <v>573</v>
      </c>
    </row>
    <row r="74" spans="2:45" x14ac:dyDescent="0.35">
      <c r="B74" s="96">
        <v>40</v>
      </c>
      <c r="C74" s="304"/>
      <c r="D74" s="302"/>
      <c r="E74" s="302"/>
      <c r="F74" s="644"/>
      <c r="G74" s="645"/>
      <c r="H74" s="408" t="str">
        <f t="shared" si="19"/>
        <v/>
      </c>
      <c r="I74" s="408" t="str">
        <f t="shared" si="20"/>
        <v/>
      </c>
      <c r="J74" s="311"/>
      <c r="K74" s="409" t="str">
        <f t="shared" si="21"/>
        <v/>
      </c>
      <c r="L74" s="406" t="str">
        <f t="shared" si="22"/>
        <v/>
      </c>
      <c r="M74" s="407" t="str">
        <f t="shared" si="23"/>
        <v/>
      </c>
      <c r="N74" s="312"/>
      <c r="O74" s="302"/>
      <c r="P74" s="411" t="str">
        <f t="shared" si="24"/>
        <v/>
      </c>
      <c r="Q74" s="411" t="str">
        <f t="shared" si="25"/>
        <v/>
      </c>
      <c r="R74" s="313"/>
      <c r="S74" s="314"/>
      <c r="T74" s="215" t="str">
        <f t="shared" si="26"/>
        <v/>
      </c>
      <c r="U74" s="216" t="str">
        <f t="shared" si="27"/>
        <v/>
      </c>
      <c r="V74" s="216" t="str">
        <f t="shared" si="28"/>
        <v/>
      </c>
      <c r="W74" s="216" t="str">
        <f t="shared" si="29"/>
        <v/>
      </c>
      <c r="X74" s="216" t="str">
        <f t="shared" si="30"/>
        <v/>
      </c>
      <c r="Y74" s="216" t="str">
        <f t="shared" si="31"/>
        <v/>
      </c>
      <c r="Z74" s="216" t="str">
        <f t="shared" si="32"/>
        <v/>
      </c>
      <c r="AA74" s="216" t="str">
        <f t="shared" si="33"/>
        <v/>
      </c>
      <c r="AB74" s="217" t="str">
        <f t="shared" si="34"/>
        <v/>
      </c>
      <c r="AC74" s="218" t="str">
        <f t="shared" si="35"/>
        <v/>
      </c>
      <c r="AD74" s="317"/>
      <c r="AI74" s="637"/>
      <c r="AJ74" s="173" t="s">
        <v>574</v>
      </c>
      <c r="AK74" s="447">
        <v>0</v>
      </c>
      <c r="AL74" s="447">
        <v>135</v>
      </c>
      <c r="AM74" s="447">
        <v>135</v>
      </c>
      <c r="AN74" s="447">
        <v>135</v>
      </c>
      <c r="AO74" s="447">
        <v>135</v>
      </c>
      <c r="AP74" s="108" t="s">
        <v>572</v>
      </c>
      <c r="AQ74" s="108" t="s">
        <v>634</v>
      </c>
      <c r="AR74" s="174" t="s">
        <v>575</v>
      </c>
    </row>
    <row r="75" spans="2:45" x14ac:dyDescent="0.35">
      <c r="B75" s="96">
        <v>41</v>
      </c>
      <c r="C75" s="304"/>
      <c r="D75" s="302"/>
      <c r="E75" s="302"/>
      <c r="F75" s="644"/>
      <c r="G75" s="645"/>
      <c r="H75" s="408" t="str">
        <f t="shared" si="19"/>
        <v/>
      </c>
      <c r="I75" s="408" t="str">
        <f t="shared" si="20"/>
        <v/>
      </c>
      <c r="J75" s="311"/>
      <c r="K75" s="409" t="str">
        <f t="shared" si="21"/>
        <v/>
      </c>
      <c r="L75" s="406" t="str">
        <f t="shared" si="22"/>
        <v/>
      </c>
      <c r="M75" s="407" t="str">
        <f t="shared" si="23"/>
        <v/>
      </c>
      <c r="N75" s="312"/>
      <c r="O75" s="302"/>
      <c r="P75" s="411" t="str">
        <f t="shared" si="24"/>
        <v/>
      </c>
      <c r="Q75" s="411" t="str">
        <f t="shared" si="25"/>
        <v/>
      </c>
      <c r="R75" s="313"/>
      <c r="S75" s="314"/>
      <c r="T75" s="215" t="str">
        <f t="shared" si="26"/>
        <v/>
      </c>
      <c r="U75" s="216" t="str">
        <f t="shared" si="27"/>
        <v/>
      </c>
      <c r="V75" s="216" t="str">
        <f t="shared" si="28"/>
        <v/>
      </c>
      <c r="W75" s="216" t="str">
        <f t="shared" si="29"/>
        <v/>
      </c>
      <c r="X75" s="216" t="str">
        <f t="shared" si="30"/>
        <v/>
      </c>
      <c r="Y75" s="216" t="str">
        <f t="shared" si="31"/>
        <v/>
      </c>
      <c r="Z75" s="216" t="str">
        <f t="shared" si="32"/>
        <v/>
      </c>
      <c r="AA75" s="216" t="str">
        <f t="shared" si="33"/>
        <v/>
      </c>
      <c r="AB75" s="217" t="str">
        <f t="shared" si="34"/>
        <v/>
      </c>
      <c r="AC75" s="218" t="str">
        <f t="shared" si="35"/>
        <v/>
      </c>
      <c r="AD75" s="317"/>
      <c r="AI75" s="638"/>
      <c r="AJ75" s="176" t="s">
        <v>629</v>
      </c>
      <c r="AK75" s="449">
        <v>0</v>
      </c>
      <c r="AL75" s="449">
        <v>45</v>
      </c>
      <c r="AM75" s="449">
        <v>45</v>
      </c>
      <c r="AN75" s="449">
        <v>45</v>
      </c>
      <c r="AO75" s="449">
        <v>45</v>
      </c>
      <c r="AP75" s="153" t="s">
        <v>572</v>
      </c>
      <c r="AQ75" s="153" t="s">
        <v>635</v>
      </c>
      <c r="AR75" s="177" t="s">
        <v>575</v>
      </c>
    </row>
    <row r="76" spans="2:45" ht="15.5" x14ac:dyDescent="0.35">
      <c r="B76" s="96">
        <v>42</v>
      </c>
      <c r="C76" s="304"/>
      <c r="D76" s="302"/>
      <c r="E76" s="302"/>
      <c r="F76" s="644"/>
      <c r="G76" s="645"/>
      <c r="H76" s="408" t="str">
        <f t="shared" si="19"/>
        <v/>
      </c>
      <c r="I76" s="408" t="str">
        <f t="shared" si="20"/>
        <v/>
      </c>
      <c r="J76" s="311"/>
      <c r="K76" s="409" t="str">
        <f t="shared" si="21"/>
        <v/>
      </c>
      <c r="L76" s="406" t="str">
        <f t="shared" si="22"/>
        <v/>
      </c>
      <c r="M76" s="407" t="str">
        <f t="shared" si="23"/>
        <v/>
      </c>
      <c r="N76" s="312"/>
      <c r="O76" s="302"/>
      <c r="P76" s="411" t="str">
        <f t="shared" si="24"/>
        <v/>
      </c>
      <c r="Q76" s="411" t="str">
        <f t="shared" si="25"/>
        <v/>
      </c>
      <c r="R76" s="313"/>
      <c r="S76" s="314"/>
      <c r="T76" s="215" t="str">
        <f t="shared" si="26"/>
        <v/>
      </c>
      <c r="U76" s="216" t="str">
        <f t="shared" si="27"/>
        <v/>
      </c>
      <c r="V76" s="216" t="str">
        <f t="shared" si="28"/>
        <v/>
      </c>
      <c r="W76" s="216" t="str">
        <f t="shared" si="29"/>
        <v/>
      </c>
      <c r="X76" s="216" t="str">
        <f t="shared" si="30"/>
        <v/>
      </c>
      <c r="Y76" s="216" t="str">
        <f t="shared" si="31"/>
        <v/>
      </c>
      <c r="Z76" s="216" t="str">
        <f t="shared" si="32"/>
        <v/>
      </c>
      <c r="AA76" s="216" t="str">
        <f t="shared" si="33"/>
        <v/>
      </c>
      <c r="AB76" s="217" t="str">
        <f t="shared" si="34"/>
        <v/>
      </c>
      <c r="AC76" s="218" t="str">
        <f t="shared" si="35"/>
        <v/>
      </c>
      <c r="AD76" s="317"/>
      <c r="AI76" s="155"/>
      <c r="AJ76" s="105"/>
      <c r="AK76" s="106"/>
      <c r="AL76" s="106"/>
      <c r="AM76" s="106"/>
      <c r="AN76" s="106"/>
      <c r="AP76" s="106"/>
      <c r="AQ76" s="106"/>
      <c r="AR76" s="106"/>
      <c r="AS76" s="105"/>
    </row>
    <row r="77" spans="2:45" ht="15.5" x14ac:dyDescent="0.35">
      <c r="B77" s="96">
        <v>43</v>
      </c>
      <c r="C77" s="304"/>
      <c r="D77" s="302"/>
      <c r="E77" s="302"/>
      <c r="F77" s="644"/>
      <c r="G77" s="645"/>
      <c r="H77" s="408" t="str">
        <f t="shared" si="19"/>
        <v/>
      </c>
      <c r="I77" s="408" t="str">
        <f t="shared" si="20"/>
        <v/>
      </c>
      <c r="J77" s="311"/>
      <c r="K77" s="409" t="str">
        <f t="shared" si="21"/>
        <v/>
      </c>
      <c r="L77" s="406" t="str">
        <f t="shared" si="22"/>
        <v/>
      </c>
      <c r="M77" s="407" t="str">
        <f t="shared" si="23"/>
        <v/>
      </c>
      <c r="N77" s="312"/>
      <c r="O77" s="302"/>
      <c r="P77" s="411" t="str">
        <f t="shared" si="24"/>
        <v/>
      </c>
      <c r="Q77" s="411" t="str">
        <f t="shared" si="25"/>
        <v/>
      </c>
      <c r="R77" s="313"/>
      <c r="S77" s="314"/>
      <c r="T77" s="215" t="str">
        <f t="shared" si="26"/>
        <v/>
      </c>
      <c r="U77" s="216" t="str">
        <f t="shared" si="27"/>
        <v/>
      </c>
      <c r="V77" s="216" t="str">
        <f t="shared" si="28"/>
        <v/>
      </c>
      <c r="W77" s="216" t="str">
        <f t="shared" si="29"/>
        <v/>
      </c>
      <c r="X77" s="216" t="str">
        <f t="shared" si="30"/>
        <v/>
      </c>
      <c r="Y77" s="216" t="str">
        <f t="shared" si="31"/>
        <v/>
      </c>
      <c r="Z77" s="216" t="str">
        <f t="shared" si="32"/>
        <v/>
      </c>
      <c r="AA77" s="216" t="str">
        <f t="shared" si="33"/>
        <v/>
      </c>
      <c r="AB77" s="217" t="str">
        <f t="shared" si="34"/>
        <v/>
      </c>
      <c r="AC77" s="218" t="str">
        <f t="shared" si="35"/>
        <v/>
      </c>
      <c r="AD77" s="317"/>
      <c r="AI77" s="110"/>
      <c r="AJ77" s="105"/>
      <c r="AK77" s="106"/>
      <c r="AL77" s="106"/>
      <c r="AM77" s="106"/>
      <c r="AN77" s="106"/>
      <c r="AO77" s="106"/>
      <c r="AP77" s="106"/>
      <c r="AQ77" s="106"/>
      <c r="AR77" s="106"/>
      <c r="AS77" s="105"/>
    </row>
    <row r="78" spans="2:45" ht="15.5" x14ac:dyDescent="0.35">
      <c r="B78" s="96">
        <v>44</v>
      </c>
      <c r="C78" s="304"/>
      <c r="D78" s="302"/>
      <c r="E78" s="302"/>
      <c r="F78" s="644"/>
      <c r="G78" s="645"/>
      <c r="H78" s="408" t="str">
        <f t="shared" si="19"/>
        <v/>
      </c>
      <c r="I78" s="408" t="str">
        <f t="shared" si="20"/>
        <v/>
      </c>
      <c r="J78" s="311"/>
      <c r="K78" s="409" t="str">
        <f t="shared" si="21"/>
        <v/>
      </c>
      <c r="L78" s="406" t="str">
        <f t="shared" si="22"/>
        <v/>
      </c>
      <c r="M78" s="407" t="str">
        <f t="shared" si="23"/>
        <v/>
      </c>
      <c r="N78" s="312"/>
      <c r="O78" s="302"/>
      <c r="P78" s="411" t="str">
        <f t="shared" si="24"/>
        <v/>
      </c>
      <c r="Q78" s="411" t="str">
        <f t="shared" si="25"/>
        <v/>
      </c>
      <c r="R78" s="313"/>
      <c r="S78" s="314"/>
      <c r="T78" s="215" t="str">
        <f t="shared" si="26"/>
        <v/>
      </c>
      <c r="U78" s="216" t="str">
        <f t="shared" si="27"/>
        <v/>
      </c>
      <c r="V78" s="216" t="str">
        <f t="shared" si="28"/>
        <v/>
      </c>
      <c r="W78" s="216" t="str">
        <f t="shared" si="29"/>
        <v/>
      </c>
      <c r="X78" s="216" t="str">
        <f t="shared" si="30"/>
        <v/>
      </c>
      <c r="Y78" s="216" t="str">
        <f t="shared" si="31"/>
        <v/>
      </c>
      <c r="Z78" s="216" t="str">
        <f t="shared" si="32"/>
        <v/>
      </c>
      <c r="AA78" s="216" t="str">
        <f t="shared" si="33"/>
        <v/>
      </c>
      <c r="AB78" s="217" t="str">
        <f t="shared" si="34"/>
        <v/>
      </c>
      <c r="AC78" s="218" t="str">
        <f t="shared" si="35"/>
        <v/>
      </c>
      <c r="AD78" s="317"/>
      <c r="AI78" s="110"/>
      <c r="AJ78" s="105"/>
      <c r="AK78" s="106"/>
      <c r="AL78" s="106"/>
      <c r="AM78" s="106"/>
      <c r="AN78" s="106"/>
      <c r="AO78" s="106"/>
      <c r="AP78" s="106"/>
      <c r="AQ78" s="106"/>
      <c r="AR78" s="106"/>
      <c r="AS78" s="105"/>
    </row>
    <row r="79" spans="2:45" ht="16" thickBot="1" x14ac:dyDescent="0.4">
      <c r="B79" s="96">
        <v>45</v>
      </c>
      <c r="C79" s="304"/>
      <c r="D79" s="302"/>
      <c r="E79" s="302"/>
      <c r="F79" s="644"/>
      <c r="G79" s="645"/>
      <c r="H79" s="408" t="str">
        <f t="shared" si="19"/>
        <v/>
      </c>
      <c r="I79" s="408" t="str">
        <f t="shared" si="20"/>
        <v/>
      </c>
      <c r="J79" s="311"/>
      <c r="K79" s="409" t="str">
        <f t="shared" si="21"/>
        <v/>
      </c>
      <c r="L79" s="406" t="str">
        <f t="shared" si="22"/>
        <v/>
      </c>
      <c r="M79" s="407" t="str">
        <f t="shared" si="23"/>
        <v/>
      </c>
      <c r="N79" s="312"/>
      <c r="O79" s="302"/>
      <c r="P79" s="411" t="str">
        <f t="shared" si="24"/>
        <v/>
      </c>
      <c r="Q79" s="411" t="str">
        <f t="shared" si="25"/>
        <v/>
      </c>
      <c r="R79" s="313"/>
      <c r="S79" s="314"/>
      <c r="T79" s="215" t="str">
        <f t="shared" si="26"/>
        <v/>
      </c>
      <c r="U79" s="216" t="str">
        <f t="shared" si="27"/>
        <v/>
      </c>
      <c r="V79" s="216" t="str">
        <f t="shared" si="28"/>
        <v/>
      </c>
      <c r="W79" s="216" t="str">
        <f t="shared" si="29"/>
        <v/>
      </c>
      <c r="X79" s="216" t="str">
        <f t="shared" si="30"/>
        <v/>
      </c>
      <c r="Y79" s="216" t="str">
        <f t="shared" si="31"/>
        <v/>
      </c>
      <c r="Z79" s="216" t="str">
        <f t="shared" si="32"/>
        <v/>
      </c>
      <c r="AA79" s="216" t="str">
        <f t="shared" si="33"/>
        <v/>
      </c>
      <c r="AB79" s="217" t="str">
        <f t="shared" si="34"/>
        <v/>
      </c>
      <c r="AC79" s="218" t="str">
        <f t="shared" si="35"/>
        <v/>
      </c>
      <c r="AD79" s="317"/>
      <c r="AI79" s="110"/>
      <c r="AJ79" s="105"/>
      <c r="AK79" s="106"/>
      <c r="AL79" s="109"/>
      <c r="AM79" s="109"/>
      <c r="AN79" s="106"/>
      <c r="AO79" s="106"/>
      <c r="AP79" s="106"/>
      <c r="AQ79" s="106"/>
      <c r="AR79" s="106"/>
      <c r="AS79" s="105"/>
    </row>
    <row r="80" spans="2:45" ht="16" thickBot="1" x14ac:dyDescent="0.4">
      <c r="B80" s="96">
        <v>46</v>
      </c>
      <c r="C80" s="304"/>
      <c r="D80" s="302"/>
      <c r="E80" s="302"/>
      <c r="F80" s="644"/>
      <c r="G80" s="645"/>
      <c r="H80" s="408" t="str">
        <f t="shared" si="19"/>
        <v/>
      </c>
      <c r="I80" s="408" t="str">
        <f t="shared" si="20"/>
        <v/>
      </c>
      <c r="J80" s="311"/>
      <c r="K80" s="409" t="str">
        <f t="shared" si="21"/>
        <v/>
      </c>
      <c r="L80" s="406" t="str">
        <f t="shared" si="22"/>
        <v/>
      </c>
      <c r="M80" s="407" t="str">
        <f t="shared" si="23"/>
        <v/>
      </c>
      <c r="N80" s="312"/>
      <c r="O80" s="302"/>
      <c r="P80" s="411" t="str">
        <f t="shared" si="24"/>
        <v/>
      </c>
      <c r="Q80" s="411" t="str">
        <f t="shared" si="25"/>
        <v/>
      </c>
      <c r="R80" s="313"/>
      <c r="S80" s="314"/>
      <c r="T80" s="215" t="str">
        <f t="shared" si="26"/>
        <v/>
      </c>
      <c r="U80" s="216" t="str">
        <f t="shared" si="27"/>
        <v/>
      </c>
      <c r="V80" s="216" t="str">
        <f t="shared" si="28"/>
        <v/>
      </c>
      <c r="W80" s="216" t="str">
        <f t="shared" si="29"/>
        <v/>
      </c>
      <c r="X80" s="216" t="str">
        <f t="shared" si="30"/>
        <v/>
      </c>
      <c r="Y80" s="216" t="str">
        <f t="shared" si="31"/>
        <v/>
      </c>
      <c r="Z80" s="216" t="str">
        <f t="shared" si="32"/>
        <v/>
      </c>
      <c r="AA80" s="216" t="str">
        <f t="shared" si="33"/>
        <v/>
      </c>
      <c r="AB80" s="217" t="str">
        <f t="shared" si="34"/>
        <v/>
      </c>
      <c r="AC80" s="218" t="str">
        <f t="shared" si="35"/>
        <v/>
      </c>
      <c r="AD80" s="317"/>
      <c r="AI80" s="107"/>
      <c r="AJ80" s="111" t="s">
        <v>538</v>
      </c>
      <c r="AK80" s="112" t="s">
        <v>539</v>
      </c>
      <c r="AL80" s="109"/>
      <c r="AM80" s="156" t="s">
        <v>630</v>
      </c>
      <c r="AN80" s="160"/>
      <c r="AO80" s="160"/>
      <c r="AP80" s="160"/>
      <c r="AQ80" s="160"/>
      <c r="AR80" s="160"/>
      <c r="AS80" s="154"/>
    </row>
    <row r="81" spans="2:55" ht="15.5" x14ac:dyDescent="0.35">
      <c r="B81" s="96">
        <v>47</v>
      </c>
      <c r="C81" s="304"/>
      <c r="D81" s="302"/>
      <c r="E81" s="302"/>
      <c r="F81" s="644"/>
      <c r="G81" s="645"/>
      <c r="H81" s="408" t="str">
        <f t="shared" si="19"/>
        <v/>
      </c>
      <c r="I81" s="408" t="str">
        <f t="shared" si="20"/>
        <v/>
      </c>
      <c r="J81" s="311"/>
      <c r="K81" s="409" t="str">
        <f t="shared" si="21"/>
        <v/>
      </c>
      <c r="L81" s="406" t="str">
        <f t="shared" si="22"/>
        <v/>
      </c>
      <c r="M81" s="407" t="str">
        <f t="shared" si="23"/>
        <v/>
      </c>
      <c r="N81" s="312"/>
      <c r="O81" s="302"/>
      <c r="P81" s="411" t="str">
        <f t="shared" si="24"/>
        <v/>
      </c>
      <c r="Q81" s="411" t="str">
        <f t="shared" si="25"/>
        <v/>
      </c>
      <c r="R81" s="313"/>
      <c r="S81" s="314"/>
      <c r="T81" s="215" t="str">
        <f t="shared" si="26"/>
        <v/>
      </c>
      <c r="U81" s="216" t="str">
        <f t="shared" si="27"/>
        <v/>
      </c>
      <c r="V81" s="216" t="str">
        <f t="shared" si="28"/>
        <v/>
      </c>
      <c r="W81" s="216" t="str">
        <f t="shared" si="29"/>
        <v/>
      </c>
      <c r="X81" s="216" t="str">
        <f t="shared" si="30"/>
        <v/>
      </c>
      <c r="Y81" s="216" t="str">
        <f t="shared" si="31"/>
        <v/>
      </c>
      <c r="Z81" s="216" t="str">
        <f t="shared" si="32"/>
        <v/>
      </c>
      <c r="AA81" s="216" t="str">
        <f t="shared" si="33"/>
        <v/>
      </c>
      <c r="AB81" s="217" t="str">
        <f t="shared" si="34"/>
        <v/>
      </c>
      <c r="AC81" s="218" t="str">
        <f t="shared" si="35"/>
        <v/>
      </c>
      <c r="AD81" s="317"/>
      <c r="AI81" s="110"/>
      <c r="AJ81" s="113" t="s">
        <v>540</v>
      </c>
      <c r="AK81" s="114" t="s">
        <v>541</v>
      </c>
      <c r="AL81" s="106"/>
      <c r="AM81" s="162" t="s">
        <v>1101</v>
      </c>
      <c r="AN81" s="106"/>
      <c r="AO81" s="106"/>
      <c r="AP81" s="106"/>
      <c r="AQ81" s="106"/>
      <c r="AR81" s="106"/>
      <c r="AS81" s="157"/>
    </row>
    <row r="82" spans="2:55" ht="15.5" x14ac:dyDescent="0.35">
      <c r="B82" s="96">
        <v>48</v>
      </c>
      <c r="C82" s="304"/>
      <c r="D82" s="302"/>
      <c r="E82" s="302"/>
      <c r="F82" s="644"/>
      <c r="G82" s="645"/>
      <c r="H82" s="408" t="str">
        <f t="shared" si="19"/>
        <v/>
      </c>
      <c r="I82" s="408" t="str">
        <f t="shared" si="20"/>
        <v/>
      </c>
      <c r="J82" s="311"/>
      <c r="K82" s="409" t="str">
        <f t="shared" si="21"/>
        <v/>
      </c>
      <c r="L82" s="406" t="str">
        <f t="shared" si="22"/>
        <v/>
      </c>
      <c r="M82" s="407" t="str">
        <f t="shared" si="23"/>
        <v/>
      </c>
      <c r="N82" s="312"/>
      <c r="O82" s="302"/>
      <c r="P82" s="411" t="str">
        <f t="shared" si="24"/>
        <v/>
      </c>
      <c r="Q82" s="411" t="str">
        <f t="shared" si="25"/>
        <v/>
      </c>
      <c r="R82" s="313"/>
      <c r="S82" s="314"/>
      <c r="T82" s="215" t="str">
        <f t="shared" si="26"/>
        <v/>
      </c>
      <c r="U82" s="216" t="str">
        <f t="shared" si="27"/>
        <v/>
      </c>
      <c r="V82" s="216" t="str">
        <f t="shared" si="28"/>
        <v/>
      </c>
      <c r="W82" s="216" t="str">
        <f t="shared" si="29"/>
        <v/>
      </c>
      <c r="X82" s="216" t="str">
        <f t="shared" si="30"/>
        <v/>
      </c>
      <c r="Y82" s="216" t="str">
        <f t="shared" si="31"/>
        <v/>
      </c>
      <c r="Z82" s="216" t="str">
        <f t="shared" si="32"/>
        <v/>
      </c>
      <c r="AA82" s="216" t="str">
        <f t="shared" si="33"/>
        <v/>
      </c>
      <c r="AB82" s="217" t="str">
        <f t="shared" si="34"/>
        <v/>
      </c>
      <c r="AC82" s="218" t="str">
        <f t="shared" si="35"/>
        <v/>
      </c>
      <c r="AD82" s="317"/>
      <c r="AI82" s="105"/>
      <c r="AJ82" s="115" t="s">
        <v>542</v>
      </c>
      <c r="AK82" s="116" t="s">
        <v>541</v>
      </c>
      <c r="AL82" s="117"/>
      <c r="AM82" s="162" t="s">
        <v>543</v>
      </c>
      <c r="AN82" s="106"/>
      <c r="AO82" s="106"/>
      <c r="AP82" s="106"/>
      <c r="AQ82" s="106"/>
      <c r="AR82" s="106"/>
      <c r="AS82" s="157"/>
    </row>
    <row r="83" spans="2:55" ht="15.5" x14ac:dyDescent="0.35">
      <c r="B83" s="96">
        <v>49</v>
      </c>
      <c r="C83" s="304"/>
      <c r="D83" s="302"/>
      <c r="E83" s="302"/>
      <c r="F83" s="644"/>
      <c r="G83" s="645"/>
      <c r="H83" s="408" t="str">
        <f t="shared" si="19"/>
        <v/>
      </c>
      <c r="I83" s="408" t="str">
        <f t="shared" si="20"/>
        <v/>
      </c>
      <c r="J83" s="311"/>
      <c r="K83" s="409" t="str">
        <f t="shared" si="21"/>
        <v/>
      </c>
      <c r="L83" s="406" t="str">
        <f t="shared" si="22"/>
        <v/>
      </c>
      <c r="M83" s="407" t="str">
        <f t="shared" si="23"/>
        <v/>
      </c>
      <c r="N83" s="312"/>
      <c r="O83" s="302"/>
      <c r="P83" s="411" t="str">
        <f t="shared" si="24"/>
        <v/>
      </c>
      <c r="Q83" s="411" t="str">
        <f t="shared" si="25"/>
        <v/>
      </c>
      <c r="R83" s="313"/>
      <c r="S83" s="314"/>
      <c r="T83" s="215" t="str">
        <f t="shared" si="26"/>
        <v/>
      </c>
      <c r="U83" s="216" t="str">
        <f t="shared" si="27"/>
        <v/>
      </c>
      <c r="V83" s="216" t="str">
        <f t="shared" si="28"/>
        <v/>
      </c>
      <c r="W83" s="216" t="str">
        <f t="shared" si="29"/>
        <v/>
      </c>
      <c r="X83" s="216" t="str">
        <f t="shared" si="30"/>
        <v/>
      </c>
      <c r="Y83" s="216" t="str">
        <f t="shared" si="31"/>
        <v/>
      </c>
      <c r="Z83" s="216" t="str">
        <f t="shared" si="32"/>
        <v/>
      </c>
      <c r="AA83" s="216" t="str">
        <f t="shared" si="33"/>
        <v/>
      </c>
      <c r="AB83" s="217" t="str">
        <f t="shared" si="34"/>
        <v/>
      </c>
      <c r="AC83" s="218" t="str">
        <f t="shared" si="35"/>
        <v/>
      </c>
      <c r="AD83" s="317"/>
      <c r="AI83" s="105"/>
      <c r="AJ83" s="115" t="s">
        <v>544</v>
      </c>
      <c r="AK83" s="116" t="s">
        <v>541</v>
      </c>
      <c r="AL83" s="106"/>
      <c r="AM83" s="158" t="s">
        <v>545</v>
      </c>
      <c r="AN83" s="106"/>
      <c r="AO83" s="106"/>
      <c r="AP83" s="106"/>
      <c r="AQ83" s="106"/>
      <c r="AR83" s="106"/>
      <c r="AS83" s="157"/>
    </row>
    <row r="84" spans="2:55" ht="15.5" x14ac:dyDescent="0.35">
      <c r="B84" s="96">
        <v>50</v>
      </c>
      <c r="C84" s="304"/>
      <c r="D84" s="302"/>
      <c r="E84" s="302"/>
      <c r="F84" s="644"/>
      <c r="G84" s="645"/>
      <c r="H84" s="408" t="str">
        <f t="shared" si="19"/>
        <v/>
      </c>
      <c r="I84" s="408" t="str">
        <f t="shared" si="20"/>
        <v/>
      </c>
      <c r="J84" s="311"/>
      <c r="K84" s="409" t="str">
        <f t="shared" si="21"/>
        <v/>
      </c>
      <c r="L84" s="406" t="str">
        <f t="shared" si="22"/>
        <v/>
      </c>
      <c r="M84" s="407" t="str">
        <f t="shared" si="23"/>
        <v/>
      </c>
      <c r="N84" s="312"/>
      <c r="O84" s="302"/>
      <c r="P84" s="411" t="str">
        <f t="shared" si="24"/>
        <v/>
      </c>
      <c r="Q84" s="411" t="str">
        <f t="shared" si="25"/>
        <v/>
      </c>
      <c r="R84" s="313"/>
      <c r="S84" s="314"/>
      <c r="T84" s="215" t="str">
        <f t="shared" si="26"/>
        <v/>
      </c>
      <c r="U84" s="216" t="str">
        <f t="shared" si="27"/>
        <v/>
      </c>
      <c r="V84" s="216" t="str">
        <f t="shared" si="28"/>
        <v/>
      </c>
      <c r="W84" s="216" t="str">
        <f t="shared" si="29"/>
        <v/>
      </c>
      <c r="X84" s="216" t="str">
        <f t="shared" si="30"/>
        <v/>
      </c>
      <c r="Y84" s="216" t="str">
        <f t="shared" si="31"/>
        <v/>
      </c>
      <c r="Z84" s="216" t="str">
        <f t="shared" si="32"/>
        <v/>
      </c>
      <c r="AA84" s="216" t="str">
        <f t="shared" si="33"/>
        <v/>
      </c>
      <c r="AB84" s="217" t="str">
        <f t="shared" si="34"/>
        <v/>
      </c>
      <c r="AC84" s="218" t="str">
        <f t="shared" si="35"/>
        <v/>
      </c>
      <c r="AD84" s="317"/>
      <c r="AI84" s="105"/>
      <c r="AJ84" s="115" t="s">
        <v>546</v>
      </c>
      <c r="AK84" s="116" t="s">
        <v>541</v>
      </c>
      <c r="AL84" s="106"/>
      <c r="AM84" s="162" t="s">
        <v>547</v>
      </c>
      <c r="AN84" s="106"/>
      <c r="AO84" s="106"/>
      <c r="AP84" s="106"/>
      <c r="AQ84" s="106"/>
      <c r="AR84" s="106"/>
      <c r="AS84" s="157"/>
    </row>
    <row r="85" spans="2:55" ht="15.5" x14ac:dyDescent="0.35">
      <c r="B85" s="96">
        <v>51</v>
      </c>
      <c r="C85" s="304"/>
      <c r="D85" s="302"/>
      <c r="E85" s="302"/>
      <c r="F85" s="644"/>
      <c r="G85" s="645"/>
      <c r="H85" s="408" t="str">
        <f t="shared" si="19"/>
        <v/>
      </c>
      <c r="I85" s="408" t="str">
        <f t="shared" si="20"/>
        <v/>
      </c>
      <c r="J85" s="311"/>
      <c r="K85" s="409" t="str">
        <f t="shared" si="21"/>
        <v/>
      </c>
      <c r="L85" s="406" t="str">
        <f t="shared" si="22"/>
        <v/>
      </c>
      <c r="M85" s="407" t="str">
        <f t="shared" si="23"/>
        <v/>
      </c>
      <c r="N85" s="312"/>
      <c r="O85" s="302"/>
      <c r="P85" s="411" t="str">
        <f t="shared" si="24"/>
        <v/>
      </c>
      <c r="Q85" s="411" t="str">
        <f t="shared" si="25"/>
        <v/>
      </c>
      <c r="R85" s="313"/>
      <c r="S85" s="314"/>
      <c r="T85" s="215" t="str">
        <f t="shared" si="26"/>
        <v/>
      </c>
      <c r="U85" s="216" t="str">
        <f t="shared" si="27"/>
        <v/>
      </c>
      <c r="V85" s="216" t="str">
        <f t="shared" si="28"/>
        <v/>
      </c>
      <c r="W85" s="216" t="str">
        <f t="shared" si="29"/>
        <v/>
      </c>
      <c r="X85" s="216" t="str">
        <f t="shared" si="30"/>
        <v/>
      </c>
      <c r="Y85" s="216" t="str">
        <f t="shared" si="31"/>
        <v/>
      </c>
      <c r="Z85" s="216" t="str">
        <f t="shared" si="32"/>
        <v/>
      </c>
      <c r="AA85" s="216" t="str">
        <f t="shared" si="33"/>
        <v/>
      </c>
      <c r="AB85" s="217" t="str">
        <f t="shared" si="34"/>
        <v/>
      </c>
      <c r="AC85" s="218" t="str">
        <f t="shared" si="35"/>
        <v/>
      </c>
      <c r="AD85" s="317"/>
      <c r="AI85" s="110"/>
      <c r="AJ85" s="115" t="s">
        <v>548</v>
      </c>
      <c r="AK85" s="116" t="s">
        <v>541</v>
      </c>
      <c r="AL85" s="106"/>
      <c r="AM85" s="162" t="s">
        <v>549</v>
      </c>
      <c r="AN85" s="106"/>
      <c r="AO85" s="106"/>
      <c r="AP85" s="106"/>
      <c r="AQ85" s="106"/>
      <c r="AR85" s="106"/>
      <c r="AS85" s="157"/>
    </row>
    <row r="86" spans="2:55" ht="15.5" x14ac:dyDescent="0.35">
      <c r="B86" s="96">
        <v>52</v>
      </c>
      <c r="C86" s="304"/>
      <c r="D86" s="302"/>
      <c r="E86" s="302"/>
      <c r="F86" s="644"/>
      <c r="G86" s="645"/>
      <c r="H86" s="408" t="str">
        <f t="shared" si="19"/>
        <v/>
      </c>
      <c r="I86" s="408" t="str">
        <f t="shared" si="20"/>
        <v/>
      </c>
      <c r="J86" s="311"/>
      <c r="K86" s="409" t="str">
        <f t="shared" si="21"/>
        <v/>
      </c>
      <c r="L86" s="406" t="str">
        <f t="shared" si="22"/>
        <v/>
      </c>
      <c r="M86" s="407" t="str">
        <f t="shared" si="23"/>
        <v/>
      </c>
      <c r="N86" s="312"/>
      <c r="O86" s="302"/>
      <c r="P86" s="411" t="str">
        <f t="shared" si="24"/>
        <v/>
      </c>
      <c r="Q86" s="411" t="str">
        <f t="shared" si="25"/>
        <v/>
      </c>
      <c r="R86" s="313"/>
      <c r="S86" s="314"/>
      <c r="T86" s="215" t="str">
        <f t="shared" si="26"/>
        <v/>
      </c>
      <c r="U86" s="216" t="str">
        <f t="shared" si="27"/>
        <v/>
      </c>
      <c r="V86" s="216" t="str">
        <f t="shared" si="28"/>
        <v/>
      </c>
      <c r="W86" s="216" t="str">
        <f t="shared" si="29"/>
        <v/>
      </c>
      <c r="X86" s="216" t="str">
        <f t="shared" si="30"/>
        <v/>
      </c>
      <c r="Y86" s="216" t="str">
        <f t="shared" si="31"/>
        <v/>
      </c>
      <c r="Z86" s="216" t="str">
        <f t="shared" si="32"/>
        <v/>
      </c>
      <c r="AA86" s="216" t="str">
        <f t="shared" si="33"/>
        <v/>
      </c>
      <c r="AB86" s="217" t="str">
        <f t="shared" si="34"/>
        <v/>
      </c>
      <c r="AC86" s="218" t="str">
        <f t="shared" si="35"/>
        <v/>
      </c>
      <c r="AD86" s="317"/>
      <c r="AI86" s="105"/>
      <c r="AJ86" s="115" t="s">
        <v>445</v>
      </c>
      <c r="AK86" s="118" t="s">
        <v>541</v>
      </c>
      <c r="AL86" s="106"/>
      <c r="AM86" s="162" t="s">
        <v>550</v>
      </c>
      <c r="AN86" s="106"/>
      <c r="AO86" s="106"/>
      <c r="AP86" s="106"/>
      <c r="AQ86" s="106"/>
      <c r="AR86" s="106"/>
      <c r="AS86" s="157"/>
    </row>
    <row r="87" spans="2:55" ht="15.5" x14ac:dyDescent="0.35">
      <c r="B87" s="96">
        <v>53</v>
      </c>
      <c r="C87" s="304"/>
      <c r="D87" s="302"/>
      <c r="E87" s="302"/>
      <c r="F87" s="644"/>
      <c r="G87" s="645"/>
      <c r="H87" s="408" t="str">
        <f t="shared" si="19"/>
        <v/>
      </c>
      <c r="I87" s="408" t="str">
        <f t="shared" si="20"/>
        <v/>
      </c>
      <c r="J87" s="311"/>
      <c r="K87" s="409" t="str">
        <f t="shared" si="21"/>
        <v/>
      </c>
      <c r="L87" s="406" t="str">
        <f t="shared" si="22"/>
        <v/>
      </c>
      <c r="M87" s="407" t="str">
        <f t="shared" si="23"/>
        <v/>
      </c>
      <c r="N87" s="312"/>
      <c r="O87" s="302"/>
      <c r="P87" s="411" t="str">
        <f t="shared" si="24"/>
        <v/>
      </c>
      <c r="Q87" s="411" t="str">
        <f t="shared" si="25"/>
        <v/>
      </c>
      <c r="R87" s="313"/>
      <c r="S87" s="314"/>
      <c r="T87" s="215" t="str">
        <f t="shared" si="26"/>
        <v/>
      </c>
      <c r="U87" s="216" t="str">
        <f t="shared" si="27"/>
        <v/>
      </c>
      <c r="V87" s="216" t="str">
        <f t="shared" si="28"/>
        <v/>
      </c>
      <c r="W87" s="216" t="str">
        <f t="shared" si="29"/>
        <v/>
      </c>
      <c r="X87" s="216" t="str">
        <f t="shared" si="30"/>
        <v/>
      </c>
      <c r="Y87" s="216" t="str">
        <f t="shared" si="31"/>
        <v/>
      </c>
      <c r="Z87" s="216" t="str">
        <f t="shared" si="32"/>
        <v/>
      </c>
      <c r="AA87" s="216" t="str">
        <f t="shared" si="33"/>
        <v/>
      </c>
      <c r="AB87" s="217" t="str">
        <f t="shared" si="34"/>
        <v/>
      </c>
      <c r="AC87" s="218" t="str">
        <f t="shared" si="35"/>
        <v/>
      </c>
      <c r="AD87" s="317"/>
      <c r="AI87" s="105"/>
      <c r="AJ87" s="115" t="s">
        <v>551</v>
      </c>
      <c r="AK87" s="116" t="s">
        <v>541</v>
      </c>
      <c r="AL87" s="106"/>
      <c r="AM87" s="162" t="s">
        <v>1102</v>
      </c>
      <c r="AN87" s="106"/>
      <c r="AO87" s="106"/>
      <c r="AP87" s="106"/>
      <c r="AQ87" s="106"/>
      <c r="AR87" s="106"/>
      <c r="AS87" s="157"/>
    </row>
    <row r="88" spans="2:55" ht="15.5" x14ac:dyDescent="0.35">
      <c r="B88" s="96">
        <v>54</v>
      </c>
      <c r="C88" s="304"/>
      <c r="D88" s="302"/>
      <c r="E88" s="302"/>
      <c r="F88" s="644"/>
      <c r="G88" s="645"/>
      <c r="H88" s="408" t="str">
        <f t="shared" si="19"/>
        <v/>
      </c>
      <c r="I88" s="408" t="str">
        <f t="shared" si="20"/>
        <v/>
      </c>
      <c r="J88" s="311"/>
      <c r="K88" s="409" t="str">
        <f t="shared" si="21"/>
        <v/>
      </c>
      <c r="L88" s="406" t="str">
        <f t="shared" si="22"/>
        <v/>
      </c>
      <c r="M88" s="407" t="str">
        <f t="shared" si="23"/>
        <v/>
      </c>
      <c r="N88" s="312"/>
      <c r="O88" s="302"/>
      <c r="P88" s="411" t="str">
        <f t="shared" si="24"/>
        <v/>
      </c>
      <c r="Q88" s="411" t="str">
        <f t="shared" si="25"/>
        <v/>
      </c>
      <c r="R88" s="313"/>
      <c r="S88" s="314"/>
      <c r="T88" s="215" t="str">
        <f t="shared" si="26"/>
        <v/>
      </c>
      <c r="U88" s="216" t="str">
        <f t="shared" si="27"/>
        <v/>
      </c>
      <c r="V88" s="216" t="str">
        <f t="shared" si="28"/>
        <v/>
      </c>
      <c r="W88" s="216" t="str">
        <f t="shared" si="29"/>
        <v/>
      </c>
      <c r="X88" s="216" t="str">
        <f t="shared" si="30"/>
        <v/>
      </c>
      <c r="Y88" s="216" t="str">
        <f t="shared" si="31"/>
        <v/>
      </c>
      <c r="Z88" s="216" t="str">
        <f t="shared" si="32"/>
        <v/>
      </c>
      <c r="AA88" s="216" t="str">
        <f t="shared" si="33"/>
        <v/>
      </c>
      <c r="AB88" s="217" t="str">
        <f t="shared" si="34"/>
        <v/>
      </c>
      <c r="AC88" s="218" t="str">
        <f t="shared" si="35"/>
        <v/>
      </c>
      <c r="AD88" s="317"/>
      <c r="AI88" s="105"/>
      <c r="AJ88" s="115" t="s">
        <v>552</v>
      </c>
      <c r="AK88" s="116" t="s">
        <v>541</v>
      </c>
      <c r="AL88" s="106"/>
      <c r="AM88" s="163"/>
      <c r="AN88" s="106"/>
      <c r="AO88" s="106"/>
      <c r="AP88" s="106"/>
      <c r="AQ88" s="106"/>
      <c r="AR88" s="106"/>
      <c r="AS88" s="157"/>
      <c r="AU88" s="106"/>
      <c r="AV88" s="106"/>
      <c r="AW88" s="106"/>
      <c r="AX88" s="106"/>
      <c r="AY88" s="106"/>
      <c r="AZ88" s="106"/>
      <c r="BA88" s="106"/>
      <c r="BB88" s="105"/>
      <c r="BC88" s="11"/>
    </row>
    <row r="89" spans="2:55" ht="16" thickBot="1" x14ac:dyDescent="0.4">
      <c r="B89" s="96">
        <v>55</v>
      </c>
      <c r="C89" s="304"/>
      <c r="D89" s="302"/>
      <c r="E89" s="302"/>
      <c r="F89" s="644"/>
      <c r="G89" s="645"/>
      <c r="H89" s="408" t="str">
        <f t="shared" si="19"/>
        <v/>
      </c>
      <c r="I89" s="408" t="str">
        <f t="shared" si="20"/>
        <v/>
      </c>
      <c r="J89" s="311"/>
      <c r="K89" s="409" t="str">
        <f t="shared" si="21"/>
        <v/>
      </c>
      <c r="L89" s="406" t="str">
        <f t="shared" si="22"/>
        <v/>
      </c>
      <c r="M89" s="407" t="str">
        <f t="shared" si="23"/>
        <v/>
      </c>
      <c r="N89" s="312"/>
      <c r="O89" s="302"/>
      <c r="P89" s="411" t="str">
        <f t="shared" si="24"/>
        <v/>
      </c>
      <c r="Q89" s="411" t="str">
        <f t="shared" si="25"/>
        <v/>
      </c>
      <c r="R89" s="313"/>
      <c r="S89" s="314"/>
      <c r="T89" s="215" t="str">
        <f t="shared" si="26"/>
        <v/>
      </c>
      <c r="U89" s="216" t="str">
        <f t="shared" si="27"/>
        <v/>
      </c>
      <c r="V89" s="216" t="str">
        <f t="shared" si="28"/>
        <v/>
      </c>
      <c r="W89" s="216" t="str">
        <f t="shared" si="29"/>
        <v/>
      </c>
      <c r="X89" s="216" t="str">
        <f t="shared" si="30"/>
        <v/>
      </c>
      <c r="Y89" s="216" t="str">
        <f t="shared" si="31"/>
        <v/>
      </c>
      <c r="Z89" s="216" t="str">
        <f t="shared" si="32"/>
        <v/>
      </c>
      <c r="AA89" s="216" t="str">
        <f t="shared" si="33"/>
        <v/>
      </c>
      <c r="AB89" s="217" t="str">
        <f t="shared" si="34"/>
        <v/>
      </c>
      <c r="AC89" s="218" t="str">
        <f t="shared" si="35"/>
        <v/>
      </c>
      <c r="AD89" s="317"/>
      <c r="AI89" s="105"/>
      <c r="AJ89" s="119" t="s">
        <v>553</v>
      </c>
      <c r="AK89" s="120" t="s">
        <v>541</v>
      </c>
      <c r="AL89" s="106"/>
      <c r="AM89" s="164"/>
      <c r="AN89" s="161"/>
      <c r="AO89" s="161"/>
      <c r="AP89" s="161"/>
      <c r="AQ89" s="161"/>
      <c r="AR89" s="161"/>
      <c r="AS89" s="150"/>
      <c r="AU89" s="106"/>
      <c r="AV89" s="106"/>
      <c r="AW89" s="106"/>
      <c r="AX89" s="106"/>
      <c r="AY89" s="106"/>
      <c r="AZ89" s="106"/>
      <c r="BA89" s="106"/>
      <c r="BB89" s="105"/>
      <c r="BC89" s="11"/>
    </row>
    <row r="90" spans="2:55" ht="15.5" x14ac:dyDescent="0.35">
      <c r="B90" s="96">
        <v>56</v>
      </c>
      <c r="C90" s="304"/>
      <c r="D90" s="302"/>
      <c r="E90" s="302"/>
      <c r="F90" s="644"/>
      <c r="G90" s="645"/>
      <c r="H90" s="408" t="str">
        <f t="shared" si="19"/>
        <v/>
      </c>
      <c r="I90" s="408" t="str">
        <f t="shared" si="20"/>
        <v/>
      </c>
      <c r="J90" s="311"/>
      <c r="K90" s="409" t="str">
        <f t="shared" si="21"/>
        <v/>
      </c>
      <c r="L90" s="406" t="str">
        <f t="shared" si="22"/>
        <v/>
      </c>
      <c r="M90" s="407" t="str">
        <f t="shared" si="23"/>
        <v/>
      </c>
      <c r="N90" s="312"/>
      <c r="O90" s="302"/>
      <c r="P90" s="411" t="str">
        <f t="shared" si="24"/>
        <v/>
      </c>
      <c r="Q90" s="411" t="str">
        <f t="shared" si="25"/>
        <v/>
      </c>
      <c r="R90" s="313"/>
      <c r="S90" s="314"/>
      <c r="T90" s="215" t="str">
        <f t="shared" si="26"/>
        <v/>
      </c>
      <c r="U90" s="216" t="str">
        <f t="shared" si="27"/>
        <v/>
      </c>
      <c r="V90" s="216" t="str">
        <f t="shared" si="28"/>
        <v/>
      </c>
      <c r="W90" s="216" t="str">
        <f t="shared" si="29"/>
        <v/>
      </c>
      <c r="X90" s="216" t="str">
        <f t="shared" si="30"/>
        <v/>
      </c>
      <c r="Y90" s="216" t="str">
        <f t="shared" si="31"/>
        <v/>
      </c>
      <c r="Z90" s="216" t="str">
        <f t="shared" si="32"/>
        <v/>
      </c>
      <c r="AA90" s="216" t="str">
        <f t="shared" si="33"/>
        <v/>
      </c>
      <c r="AB90" s="217" t="str">
        <f t="shared" si="34"/>
        <v/>
      </c>
      <c r="AC90" s="218" t="str">
        <f t="shared" si="35"/>
        <v/>
      </c>
      <c r="AD90" s="317"/>
      <c r="AS90" s="105"/>
    </row>
    <row r="91" spans="2:55" ht="15.5" x14ac:dyDescent="0.35">
      <c r="B91" s="96">
        <v>57</v>
      </c>
      <c r="C91" s="304"/>
      <c r="D91" s="302"/>
      <c r="E91" s="302"/>
      <c r="F91" s="644"/>
      <c r="G91" s="645"/>
      <c r="H91" s="408" t="str">
        <f t="shared" si="19"/>
        <v/>
      </c>
      <c r="I91" s="408" t="str">
        <f t="shared" si="20"/>
        <v/>
      </c>
      <c r="J91" s="311"/>
      <c r="K91" s="409" t="str">
        <f t="shared" si="21"/>
        <v/>
      </c>
      <c r="L91" s="406" t="str">
        <f t="shared" si="22"/>
        <v/>
      </c>
      <c r="M91" s="407" t="str">
        <f t="shared" si="23"/>
        <v/>
      </c>
      <c r="N91" s="312"/>
      <c r="O91" s="302"/>
      <c r="P91" s="411" t="str">
        <f t="shared" si="24"/>
        <v/>
      </c>
      <c r="Q91" s="411" t="str">
        <f t="shared" si="25"/>
        <v/>
      </c>
      <c r="R91" s="313"/>
      <c r="S91" s="314"/>
      <c r="T91" s="215" t="str">
        <f t="shared" si="26"/>
        <v/>
      </c>
      <c r="U91" s="216" t="str">
        <f t="shared" si="27"/>
        <v/>
      </c>
      <c r="V91" s="216" t="str">
        <f t="shared" si="28"/>
        <v/>
      </c>
      <c r="W91" s="216" t="str">
        <f t="shared" si="29"/>
        <v/>
      </c>
      <c r="X91" s="216" t="str">
        <f t="shared" si="30"/>
        <v/>
      </c>
      <c r="Y91" s="216" t="str">
        <f t="shared" si="31"/>
        <v/>
      </c>
      <c r="Z91" s="216" t="str">
        <f t="shared" si="32"/>
        <v/>
      </c>
      <c r="AA91" s="216" t="str">
        <f t="shared" si="33"/>
        <v/>
      </c>
      <c r="AB91" s="217" t="str">
        <f t="shared" si="34"/>
        <v/>
      </c>
      <c r="AC91" s="218" t="str">
        <f t="shared" si="35"/>
        <v/>
      </c>
      <c r="AD91" s="317"/>
      <c r="AS91" s="105"/>
    </row>
    <row r="92" spans="2:55" ht="15.5" x14ac:dyDescent="0.35">
      <c r="B92" s="96">
        <v>58</v>
      </c>
      <c r="C92" s="304"/>
      <c r="D92" s="302"/>
      <c r="E92" s="302"/>
      <c r="F92" s="644"/>
      <c r="G92" s="645"/>
      <c r="H92" s="408" t="str">
        <f t="shared" si="19"/>
        <v/>
      </c>
      <c r="I92" s="408" t="str">
        <f t="shared" si="20"/>
        <v/>
      </c>
      <c r="J92" s="311"/>
      <c r="K92" s="409" t="str">
        <f t="shared" si="21"/>
        <v/>
      </c>
      <c r="L92" s="406" t="str">
        <f t="shared" si="22"/>
        <v/>
      </c>
      <c r="M92" s="407" t="str">
        <f t="shared" si="23"/>
        <v/>
      </c>
      <c r="N92" s="312"/>
      <c r="O92" s="302"/>
      <c r="P92" s="411" t="str">
        <f t="shared" si="24"/>
        <v/>
      </c>
      <c r="Q92" s="411" t="str">
        <f t="shared" si="25"/>
        <v/>
      </c>
      <c r="R92" s="313"/>
      <c r="S92" s="314"/>
      <c r="T92" s="215" t="str">
        <f t="shared" si="26"/>
        <v/>
      </c>
      <c r="U92" s="216" t="str">
        <f t="shared" si="27"/>
        <v/>
      </c>
      <c r="V92" s="216" t="str">
        <f t="shared" si="28"/>
        <v/>
      </c>
      <c r="W92" s="216" t="str">
        <f t="shared" si="29"/>
        <v/>
      </c>
      <c r="X92" s="216" t="str">
        <f t="shared" si="30"/>
        <v/>
      </c>
      <c r="Y92" s="216" t="str">
        <f t="shared" si="31"/>
        <v/>
      </c>
      <c r="Z92" s="216" t="str">
        <f t="shared" si="32"/>
        <v/>
      </c>
      <c r="AA92" s="216" t="str">
        <f t="shared" si="33"/>
        <v/>
      </c>
      <c r="AB92" s="217" t="str">
        <f t="shared" si="34"/>
        <v/>
      </c>
      <c r="AC92" s="218" t="str">
        <f t="shared" si="35"/>
        <v/>
      </c>
      <c r="AD92" s="317"/>
      <c r="AS92" s="105"/>
    </row>
    <row r="93" spans="2:55" ht="15.5" x14ac:dyDescent="0.35">
      <c r="B93" s="96">
        <v>59</v>
      </c>
      <c r="C93" s="304"/>
      <c r="D93" s="302"/>
      <c r="E93" s="302"/>
      <c r="F93" s="644"/>
      <c r="G93" s="645"/>
      <c r="H93" s="408" t="str">
        <f t="shared" si="19"/>
        <v/>
      </c>
      <c r="I93" s="408" t="str">
        <f t="shared" si="20"/>
        <v/>
      </c>
      <c r="J93" s="311"/>
      <c r="K93" s="409" t="str">
        <f t="shared" si="21"/>
        <v/>
      </c>
      <c r="L93" s="406" t="str">
        <f t="shared" si="22"/>
        <v/>
      </c>
      <c r="M93" s="407" t="str">
        <f t="shared" si="23"/>
        <v/>
      </c>
      <c r="N93" s="312"/>
      <c r="O93" s="302"/>
      <c r="P93" s="411" t="str">
        <f t="shared" si="24"/>
        <v/>
      </c>
      <c r="Q93" s="411" t="str">
        <f t="shared" si="25"/>
        <v/>
      </c>
      <c r="R93" s="313"/>
      <c r="S93" s="314"/>
      <c r="T93" s="215" t="str">
        <f t="shared" si="26"/>
        <v/>
      </c>
      <c r="U93" s="216" t="str">
        <f t="shared" si="27"/>
        <v/>
      </c>
      <c r="V93" s="216" t="str">
        <f t="shared" si="28"/>
        <v/>
      </c>
      <c r="W93" s="216" t="str">
        <f t="shared" si="29"/>
        <v/>
      </c>
      <c r="X93" s="216" t="str">
        <f t="shared" si="30"/>
        <v/>
      </c>
      <c r="Y93" s="216" t="str">
        <f t="shared" si="31"/>
        <v/>
      </c>
      <c r="Z93" s="216" t="str">
        <f t="shared" si="32"/>
        <v/>
      </c>
      <c r="AA93" s="216" t="str">
        <f t="shared" si="33"/>
        <v/>
      </c>
      <c r="AB93" s="217" t="str">
        <f t="shared" si="34"/>
        <v/>
      </c>
      <c r="AC93" s="218" t="str">
        <f t="shared" si="35"/>
        <v/>
      </c>
      <c r="AD93" s="317"/>
      <c r="AS93" s="105"/>
    </row>
    <row r="94" spans="2:55" ht="15.5" x14ac:dyDescent="0.35">
      <c r="B94" s="96">
        <v>60</v>
      </c>
      <c r="C94" s="304"/>
      <c r="D94" s="302"/>
      <c r="E94" s="302"/>
      <c r="F94" s="644"/>
      <c r="G94" s="645"/>
      <c r="H94" s="408" t="str">
        <f t="shared" si="19"/>
        <v/>
      </c>
      <c r="I94" s="408" t="str">
        <f t="shared" si="20"/>
        <v/>
      </c>
      <c r="J94" s="311"/>
      <c r="K94" s="409" t="str">
        <f t="shared" si="21"/>
        <v/>
      </c>
      <c r="L94" s="406" t="str">
        <f t="shared" si="22"/>
        <v/>
      </c>
      <c r="M94" s="407" t="str">
        <f t="shared" si="23"/>
        <v/>
      </c>
      <c r="N94" s="312"/>
      <c r="O94" s="302"/>
      <c r="P94" s="411" t="str">
        <f t="shared" si="24"/>
        <v/>
      </c>
      <c r="Q94" s="411" t="str">
        <f t="shared" si="25"/>
        <v/>
      </c>
      <c r="R94" s="313"/>
      <c r="S94" s="314"/>
      <c r="T94" s="215" t="str">
        <f t="shared" si="26"/>
        <v/>
      </c>
      <c r="U94" s="216" t="str">
        <f t="shared" si="27"/>
        <v/>
      </c>
      <c r="V94" s="216" t="str">
        <f t="shared" si="28"/>
        <v/>
      </c>
      <c r="W94" s="216" t="str">
        <f t="shared" si="29"/>
        <v/>
      </c>
      <c r="X94" s="216" t="str">
        <f t="shared" si="30"/>
        <v/>
      </c>
      <c r="Y94" s="216" t="str">
        <f t="shared" si="31"/>
        <v/>
      </c>
      <c r="Z94" s="216" t="str">
        <f t="shared" si="32"/>
        <v/>
      </c>
      <c r="AA94" s="216" t="str">
        <f t="shared" si="33"/>
        <v/>
      </c>
      <c r="AB94" s="217" t="str">
        <f t="shared" si="34"/>
        <v/>
      </c>
      <c r="AC94" s="218" t="str">
        <f t="shared" si="35"/>
        <v/>
      </c>
      <c r="AD94" s="317"/>
      <c r="AS94" s="105"/>
    </row>
    <row r="95" spans="2:55" ht="15.5" x14ac:dyDescent="0.35">
      <c r="B95" s="96">
        <v>61</v>
      </c>
      <c r="C95" s="304"/>
      <c r="D95" s="302"/>
      <c r="E95" s="302"/>
      <c r="F95" s="644"/>
      <c r="G95" s="645"/>
      <c r="H95" s="408" t="str">
        <f t="shared" si="19"/>
        <v/>
      </c>
      <c r="I95" s="408" t="str">
        <f t="shared" si="20"/>
        <v/>
      </c>
      <c r="J95" s="311"/>
      <c r="K95" s="409" t="str">
        <f t="shared" si="21"/>
        <v/>
      </c>
      <c r="L95" s="406" t="str">
        <f t="shared" si="22"/>
        <v/>
      </c>
      <c r="M95" s="407" t="str">
        <f t="shared" si="23"/>
        <v/>
      </c>
      <c r="N95" s="312"/>
      <c r="O95" s="302"/>
      <c r="P95" s="411" t="str">
        <f t="shared" si="24"/>
        <v/>
      </c>
      <c r="Q95" s="411" t="str">
        <f t="shared" si="25"/>
        <v/>
      </c>
      <c r="R95" s="313"/>
      <c r="S95" s="314"/>
      <c r="T95" s="215" t="str">
        <f t="shared" si="26"/>
        <v/>
      </c>
      <c r="U95" s="216" t="str">
        <f t="shared" si="27"/>
        <v/>
      </c>
      <c r="V95" s="216" t="str">
        <f t="shared" si="28"/>
        <v/>
      </c>
      <c r="W95" s="216" t="str">
        <f t="shared" si="29"/>
        <v/>
      </c>
      <c r="X95" s="216" t="str">
        <f t="shared" si="30"/>
        <v/>
      </c>
      <c r="Y95" s="216" t="str">
        <f t="shared" si="31"/>
        <v/>
      </c>
      <c r="Z95" s="216" t="str">
        <f t="shared" si="32"/>
        <v/>
      </c>
      <c r="AA95" s="216" t="str">
        <f t="shared" si="33"/>
        <v/>
      </c>
      <c r="AB95" s="217" t="str">
        <f t="shared" si="34"/>
        <v/>
      </c>
      <c r="AC95" s="218" t="str">
        <f t="shared" si="35"/>
        <v/>
      </c>
      <c r="AD95" s="317"/>
      <c r="AS95" s="105"/>
    </row>
    <row r="96" spans="2:55" ht="15.5" x14ac:dyDescent="0.35">
      <c r="B96" s="96">
        <v>62</v>
      </c>
      <c r="C96" s="304"/>
      <c r="D96" s="302"/>
      <c r="E96" s="302"/>
      <c r="F96" s="644"/>
      <c r="G96" s="645"/>
      <c r="H96" s="408" t="str">
        <f t="shared" si="19"/>
        <v/>
      </c>
      <c r="I96" s="408" t="str">
        <f t="shared" si="20"/>
        <v/>
      </c>
      <c r="J96" s="311"/>
      <c r="K96" s="409" t="str">
        <f t="shared" si="21"/>
        <v/>
      </c>
      <c r="L96" s="406" t="str">
        <f t="shared" si="22"/>
        <v/>
      </c>
      <c r="M96" s="407" t="str">
        <f t="shared" si="23"/>
        <v/>
      </c>
      <c r="N96" s="312"/>
      <c r="O96" s="302"/>
      <c r="P96" s="411" t="str">
        <f t="shared" si="24"/>
        <v/>
      </c>
      <c r="Q96" s="411" t="str">
        <f t="shared" si="25"/>
        <v/>
      </c>
      <c r="R96" s="313"/>
      <c r="S96" s="314"/>
      <c r="T96" s="215" t="str">
        <f t="shared" si="26"/>
        <v/>
      </c>
      <c r="U96" s="216" t="str">
        <f t="shared" si="27"/>
        <v/>
      </c>
      <c r="V96" s="216" t="str">
        <f t="shared" si="28"/>
        <v/>
      </c>
      <c r="W96" s="216" t="str">
        <f t="shared" si="29"/>
        <v/>
      </c>
      <c r="X96" s="216" t="str">
        <f t="shared" si="30"/>
        <v/>
      </c>
      <c r="Y96" s="216" t="str">
        <f t="shared" si="31"/>
        <v/>
      </c>
      <c r="Z96" s="216" t="str">
        <f t="shared" si="32"/>
        <v/>
      </c>
      <c r="AA96" s="216" t="str">
        <f t="shared" si="33"/>
        <v/>
      </c>
      <c r="AB96" s="217" t="str">
        <f t="shared" si="34"/>
        <v/>
      </c>
      <c r="AC96" s="218" t="str">
        <f t="shared" si="35"/>
        <v/>
      </c>
      <c r="AD96" s="317"/>
      <c r="AS96" s="105"/>
    </row>
    <row r="97" spans="2:30" x14ac:dyDescent="0.35">
      <c r="B97" s="96">
        <v>63</v>
      </c>
      <c r="C97" s="304"/>
      <c r="D97" s="302"/>
      <c r="E97" s="302"/>
      <c r="F97" s="644"/>
      <c r="G97" s="645"/>
      <c r="H97" s="408" t="str">
        <f t="shared" si="19"/>
        <v/>
      </c>
      <c r="I97" s="408" t="str">
        <f t="shared" si="20"/>
        <v/>
      </c>
      <c r="J97" s="311"/>
      <c r="K97" s="409" t="str">
        <f t="shared" si="21"/>
        <v/>
      </c>
      <c r="L97" s="406" t="str">
        <f t="shared" si="22"/>
        <v/>
      </c>
      <c r="M97" s="407" t="str">
        <f t="shared" si="23"/>
        <v/>
      </c>
      <c r="N97" s="312"/>
      <c r="O97" s="302"/>
      <c r="P97" s="411" t="str">
        <f t="shared" si="24"/>
        <v/>
      </c>
      <c r="Q97" s="411" t="str">
        <f t="shared" si="25"/>
        <v/>
      </c>
      <c r="R97" s="313"/>
      <c r="S97" s="314"/>
      <c r="T97" s="215" t="str">
        <f t="shared" si="26"/>
        <v/>
      </c>
      <c r="U97" s="216" t="str">
        <f t="shared" si="27"/>
        <v/>
      </c>
      <c r="V97" s="216" t="str">
        <f t="shared" si="28"/>
        <v/>
      </c>
      <c r="W97" s="216" t="str">
        <f t="shared" si="29"/>
        <v/>
      </c>
      <c r="X97" s="216" t="str">
        <f t="shared" si="30"/>
        <v/>
      </c>
      <c r="Y97" s="216" t="str">
        <f t="shared" si="31"/>
        <v/>
      </c>
      <c r="Z97" s="216" t="str">
        <f t="shared" si="32"/>
        <v/>
      </c>
      <c r="AA97" s="216" t="str">
        <f t="shared" si="33"/>
        <v/>
      </c>
      <c r="AB97" s="217" t="str">
        <f t="shared" si="34"/>
        <v/>
      </c>
      <c r="AC97" s="218" t="str">
        <f t="shared" si="35"/>
        <v/>
      </c>
      <c r="AD97" s="317"/>
    </row>
    <row r="98" spans="2:30" x14ac:dyDescent="0.35">
      <c r="B98" s="96">
        <v>64</v>
      </c>
      <c r="C98" s="304"/>
      <c r="D98" s="302"/>
      <c r="E98" s="302"/>
      <c r="F98" s="644"/>
      <c r="G98" s="645"/>
      <c r="H98" s="408" t="str">
        <f t="shared" si="19"/>
        <v/>
      </c>
      <c r="I98" s="408" t="str">
        <f t="shared" si="20"/>
        <v/>
      </c>
      <c r="J98" s="311"/>
      <c r="K98" s="409" t="str">
        <f t="shared" si="21"/>
        <v/>
      </c>
      <c r="L98" s="406" t="str">
        <f t="shared" si="22"/>
        <v/>
      </c>
      <c r="M98" s="407" t="str">
        <f t="shared" si="23"/>
        <v/>
      </c>
      <c r="N98" s="312"/>
      <c r="O98" s="302"/>
      <c r="P98" s="411" t="str">
        <f t="shared" si="24"/>
        <v/>
      </c>
      <c r="Q98" s="411" t="str">
        <f t="shared" si="25"/>
        <v/>
      </c>
      <c r="R98" s="313"/>
      <c r="S98" s="314"/>
      <c r="T98" s="215" t="str">
        <f t="shared" si="26"/>
        <v/>
      </c>
      <c r="U98" s="216" t="str">
        <f t="shared" si="27"/>
        <v/>
      </c>
      <c r="V98" s="216" t="str">
        <f t="shared" si="28"/>
        <v/>
      </c>
      <c r="W98" s="216" t="str">
        <f t="shared" si="29"/>
        <v/>
      </c>
      <c r="X98" s="216" t="str">
        <f t="shared" si="30"/>
        <v/>
      </c>
      <c r="Y98" s="216" t="str">
        <f t="shared" si="31"/>
        <v/>
      </c>
      <c r="Z98" s="216" t="str">
        <f t="shared" si="32"/>
        <v/>
      </c>
      <c r="AA98" s="216" t="str">
        <f t="shared" si="33"/>
        <v/>
      </c>
      <c r="AB98" s="217" t="str">
        <f t="shared" si="34"/>
        <v/>
      </c>
      <c r="AC98" s="218" t="str">
        <f t="shared" si="35"/>
        <v/>
      </c>
      <c r="AD98" s="317"/>
    </row>
    <row r="99" spans="2:30" x14ac:dyDescent="0.35">
      <c r="B99" s="96">
        <v>65</v>
      </c>
      <c r="C99" s="304"/>
      <c r="D99" s="302"/>
      <c r="E99" s="302"/>
      <c r="F99" s="644"/>
      <c r="G99" s="645"/>
      <c r="H99" s="408" t="str">
        <f t="shared" si="19"/>
        <v/>
      </c>
      <c r="I99" s="408" t="str">
        <f t="shared" si="20"/>
        <v/>
      </c>
      <c r="J99" s="311"/>
      <c r="K99" s="409" t="str">
        <f t="shared" ref="K99:K130" si="36">IFERROR(IF(IntExt="Interior",sqft,VLOOKUP(SpaceType,ExteriorTable,9,FALSE)),"")</f>
        <v/>
      </c>
      <c r="L99" s="406" t="str">
        <f t="shared" ref="L99:L130" si="37">IF(ISBLANK(SpaceType),"",(IF(IntExt="Interior",VLOOKUP(SpaceType,InteriorTable,5,FALSE),IF(IntExt="Exterior",VLOOKUP(SpaceType,ExteriorTable,LightingZone+2,FALSE),"ERROR"))))</f>
        <v/>
      </c>
      <c r="M99" s="407" t="str">
        <f t="shared" ref="M99:M130" si="38">IFERROR(LPDb*AreaSize/1000,"")</f>
        <v/>
      </c>
      <c r="N99" s="312"/>
      <c r="O99" s="302"/>
      <c r="P99" s="411" t="str">
        <f t="shared" ref="P99:P130" si="39">IFERROR(VLOOKUP(FixtureNum,FixtureTable,5,FALSE),"")</f>
        <v/>
      </c>
      <c r="Q99" s="411" t="str">
        <f t="shared" ref="Q99:Q130" si="40">IFERROR(WperFixture*ProposedQty/1000,"")</f>
        <v/>
      </c>
      <c r="R99" s="313"/>
      <c r="S99" s="314"/>
      <c r="T99" s="215" t="str">
        <f t="shared" ref="T99:T130" si="41">IFERROR(IF(IntExt="Interior",kWbase-kWee,""),"")</f>
        <v/>
      </c>
      <c r="U99" s="216" t="str">
        <f t="shared" ref="U99:U130" si="42">IFERROR(IF(IntExt="Exterior",kWbase-kWee,""),"")</f>
        <v/>
      </c>
      <c r="V99" s="216" t="str">
        <f t="shared" ref="V99:V130" si="43">IFERROR(IF(IntExt="Exterior",0,VLOOKUP(SpaceType,InteriorTable,2,FALSE)),"")</f>
        <v/>
      </c>
      <c r="W99" s="216" t="str">
        <f t="shared" ref="W99:W130" si="44">IFERROR(IF(OR(IntExt="Exterior",Cooling="Not Cooled"),1,VLOOKUP(SpaceType,InteriorTable,6,FALSE)),"")</f>
        <v/>
      </c>
      <c r="X99" s="216" t="str">
        <f t="shared" ref="X99:X130" si="45">IFERROR(IF(OR(IntExt="Exterior",Cooling="Not Cooled"),1,VLOOKUP(SpaceType,InteriorTable,7,FALSE)),"")</f>
        <v/>
      </c>
      <c r="Y99" s="216" t="str">
        <f t="shared" ref="Y99:Y130" si="46">IF(ISBLANK(IntExt),"",IFERROR(VLOOKUP(SpaceType,ESFtable,2,FALSE), IF(IntExt="Interior",VLOOKUP("Interior|Occupancy",ESFtable,2,FALSE),VLOOKUP("Exterior|Setback",ESFtable,2,FALSE))))</f>
        <v/>
      </c>
      <c r="Z99" s="216" t="str">
        <f t="shared" ref="Z99:Z130" si="47">IFERROR(VLOOKUP(IntExt&amp;"|"&amp;PropControlType,ESFtable,2,FALSE),ESFb)</f>
        <v/>
      </c>
      <c r="AA99" s="216" t="str">
        <f t="shared" ref="AA99:AA130" si="48">IF(IntExt="Interior",VLOOKUP(SpaceType,InteriorTable,3,FALSE),IF(IntExt="Exterior",VLOOKUP(IntExt,InteriorTable,3,FALSE),""))</f>
        <v/>
      </c>
      <c r="AB99" s="217" t="str">
        <f t="shared" ref="AB99:AB130" si="49">IFERROR((kWbase-kWee)*CF*WHFd,"")</f>
        <v/>
      </c>
      <c r="AC99" s="218" t="str">
        <f t="shared" ref="AC99:AC130" si="50">IFERROR(EFLH_deemed*WHFe*(kWbase*(1-ESFb)-kWee*(1-ESFee)),"")</f>
        <v/>
      </c>
      <c r="AD99" s="317"/>
    </row>
    <row r="100" spans="2:30" x14ac:dyDescent="0.35">
      <c r="B100" s="96">
        <v>66</v>
      </c>
      <c r="C100" s="304"/>
      <c r="D100" s="302"/>
      <c r="E100" s="302"/>
      <c r="F100" s="644"/>
      <c r="G100" s="645"/>
      <c r="H100" s="408" t="str">
        <f t="shared" ref="H100:H163" si="51">IF(E100="Exterior","N/A","")</f>
        <v/>
      </c>
      <c r="I100" s="408" t="str">
        <f t="shared" ref="I100:I163" si="52">IF(E100="Exterior","N/A","")</f>
        <v/>
      </c>
      <c r="J100" s="311"/>
      <c r="K100" s="409" t="str">
        <f t="shared" si="36"/>
        <v/>
      </c>
      <c r="L100" s="406" t="str">
        <f t="shared" si="37"/>
        <v/>
      </c>
      <c r="M100" s="407" t="str">
        <f t="shared" si="38"/>
        <v/>
      </c>
      <c r="N100" s="312"/>
      <c r="O100" s="302"/>
      <c r="P100" s="411" t="str">
        <f t="shared" si="39"/>
        <v/>
      </c>
      <c r="Q100" s="411" t="str">
        <f t="shared" si="40"/>
        <v/>
      </c>
      <c r="R100" s="313"/>
      <c r="S100" s="314"/>
      <c r="T100" s="215" t="str">
        <f t="shared" si="41"/>
        <v/>
      </c>
      <c r="U100" s="216" t="str">
        <f t="shared" si="42"/>
        <v/>
      </c>
      <c r="V100" s="216" t="str">
        <f t="shared" si="43"/>
        <v/>
      </c>
      <c r="W100" s="216" t="str">
        <f t="shared" si="44"/>
        <v/>
      </c>
      <c r="X100" s="216" t="str">
        <f t="shared" si="45"/>
        <v/>
      </c>
      <c r="Y100" s="216" t="str">
        <f t="shared" si="46"/>
        <v/>
      </c>
      <c r="Z100" s="216" t="str">
        <f t="shared" si="47"/>
        <v/>
      </c>
      <c r="AA100" s="216" t="str">
        <f t="shared" si="48"/>
        <v/>
      </c>
      <c r="AB100" s="217" t="str">
        <f t="shared" si="49"/>
        <v/>
      </c>
      <c r="AC100" s="218" t="str">
        <f t="shared" si="50"/>
        <v/>
      </c>
      <c r="AD100" s="317"/>
    </row>
    <row r="101" spans="2:30" x14ac:dyDescent="0.35">
      <c r="B101" s="96">
        <v>67</v>
      </c>
      <c r="C101" s="304"/>
      <c r="D101" s="302"/>
      <c r="E101" s="302"/>
      <c r="F101" s="644"/>
      <c r="G101" s="645"/>
      <c r="H101" s="408" t="str">
        <f t="shared" si="51"/>
        <v/>
      </c>
      <c r="I101" s="408" t="str">
        <f t="shared" si="52"/>
        <v/>
      </c>
      <c r="J101" s="311"/>
      <c r="K101" s="409" t="str">
        <f t="shared" si="36"/>
        <v/>
      </c>
      <c r="L101" s="406" t="str">
        <f t="shared" si="37"/>
        <v/>
      </c>
      <c r="M101" s="407" t="str">
        <f t="shared" si="38"/>
        <v/>
      </c>
      <c r="N101" s="312"/>
      <c r="O101" s="302"/>
      <c r="P101" s="411" t="str">
        <f t="shared" si="39"/>
        <v/>
      </c>
      <c r="Q101" s="411" t="str">
        <f t="shared" si="40"/>
        <v/>
      </c>
      <c r="R101" s="313"/>
      <c r="S101" s="314"/>
      <c r="T101" s="215" t="str">
        <f t="shared" si="41"/>
        <v/>
      </c>
      <c r="U101" s="216" t="str">
        <f t="shared" si="42"/>
        <v/>
      </c>
      <c r="V101" s="216" t="str">
        <f t="shared" si="43"/>
        <v/>
      </c>
      <c r="W101" s="216" t="str">
        <f t="shared" si="44"/>
        <v/>
      </c>
      <c r="X101" s="216" t="str">
        <f t="shared" si="45"/>
        <v/>
      </c>
      <c r="Y101" s="216" t="str">
        <f t="shared" si="46"/>
        <v/>
      </c>
      <c r="Z101" s="216" t="str">
        <f t="shared" si="47"/>
        <v/>
      </c>
      <c r="AA101" s="216" t="str">
        <f t="shared" si="48"/>
        <v/>
      </c>
      <c r="AB101" s="217" t="str">
        <f t="shared" si="49"/>
        <v/>
      </c>
      <c r="AC101" s="218" t="str">
        <f t="shared" si="50"/>
        <v/>
      </c>
      <c r="AD101" s="317"/>
    </row>
    <row r="102" spans="2:30" x14ac:dyDescent="0.35">
      <c r="B102" s="96">
        <v>68</v>
      </c>
      <c r="C102" s="304"/>
      <c r="D102" s="302"/>
      <c r="E102" s="302"/>
      <c r="F102" s="644"/>
      <c r="G102" s="645"/>
      <c r="H102" s="408" t="str">
        <f t="shared" si="51"/>
        <v/>
      </c>
      <c r="I102" s="408" t="str">
        <f t="shared" si="52"/>
        <v/>
      </c>
      <c r="J102" s="311"/>
      <c r="K102" s="409" t="str">
        <f t="shared" si="36"/>
        <v/>
      </c>
      <c r="L102" s="406" t="str">
        <f t="shared" si="37"/>
        <v/>
      </c>
      <c r="M102" s="407" t="str">
        <f t="shared" si="38"/>
        <v/>
      </c>
      <c r="N102" s="312"/>
      <c r="O102" s="302"/>
      <c r="P102" s="411" t="str">
        <f t="shared" si="39"/>
        <v/>
      </c>
      <c r="Q102" s="411" t="str">
        <f t="shared" si="40"/>
        <v/>
      </c>
      <c r="R102" s="313"/>
      <c r="S102" s="314"/>
      <c r="T102" s="215" t="str">
        <f t="shared" si="41"/>
        <v/>
      </c>
      <c r="U102" s="216" t="str">
        <f t="shared" si="42"/>
        <v/>
      </c>
      <c r="V102" s="216" t="str">
        <f t="shared" si="43"/>
        <v/>
      </c>
      <c r="W102" s="216" t="str">
        <f t="shared" si="44"/>
        <v/>
      </c>
      <c r="X102" s="216" t="str">
        <f t="shared" si="45"/>
        <v/>
      </c>
      <c r="Y102" s="216" t="str">
        <f t="shared" si="46"/>
        <v/>
      </c>
      <c r="Z102" s="216" t="str">
        <f t="shared" si="47"/>
        <v/>
      </c>
      <c r="AA102" s="216" t="str">
        <f t="shared" si="48"/>
        <v/>
      </c>
      <c r="AB102" s="217" t="str">
        <f t="shared" si="49"/>
        <v/>
      </c>
      <c r="AC102" s="218" t="str">
        <f t="shared" si="50"/>
        <v/>
      </c>
      <c r="AD102" s="317"/>
    </row>
    <row r="103" spans="2:30" x14ac:dyDescent="0.35">
      <c r="B103" s="96">
        <v>69</v>
      </c>
      <c r="C103" s="304"/>
      <c r="D103" s="302"/>
      <c r="E103" s="302"/>
      <c r="F103" s="644"/>
      <c r="G103" s="645"/>
      <c r="H103" s="408" t="str">
        <f t="shared" si="51"/>
        <v/>
      </c>
      <c r="I103" s="408" t="str">
        <f t="shared" si="52"/>
        <v/>
      </c>
      <c r="J103" s="311"/>
      <c r="K103" s="409" t="str">
        <f t="shared" si="36"/>
        <v/>
      </c>
      <c r="L103" s="406" t="str">
        <f t="shared" si="37"/>
        <v/>
      </c>
      <c r="M103" s="407" t="str">
        <f t="shared" si="38"/>
        <v/>
      </c>
      <c r="N103" s="312"/>
      <c r="O103" s="302"/>
      <c r="P103" s="411" t="str">
        <f t="shared" si="39"/>
        <v/>
      </c>
      <c r="Q103" s="411" t="str">
        <f t="shared" si="40"/>
        <v/>
      </c>
      <c r="R103" s="313"/>
      <c r="S103" s="314"/>
      <c r="T103" s="215" t="str">
        <f t="shared" si="41"/>
        <v/>
      </c>
      <c r="U103" s="216" t="str">
        <f t="shared" si="42"/>
        <v/>
      </c>
      <c r="V103" s="216" t="str">
        <f t="shared" si="43"/>
        <v/>
      </c>
      <c r="W103" s="216" t="str">
        <f t="shared" si="44"/>
        <v/>
      </c>
      <c r="X103" s="216" t="str">
        <f t="shared" si="45"/>
        <v/>
      </c>
      <c r="Y103" s="216" t="str">
        <f t="shared" si="46"/>
        <v/>
      </c>
      <c r="Z103" s="216" t="str">
        <f t="shared" si="47"/>
        <v/>
      </c>
      <c r="AA103" s="216" t="str">
        <f t="shared" si="48"/>
        <v/>
      </c>
      <c r="AB103" s="217" t="str">
        <f t="shared" si="49"/>
        <v/>
      </c>
      <c r="AC103" s="218" t="str">
        <f t="shared" si="50"/>
        <v/>
      </c>
      <c r="AD103" s="317"/>
    </row>
    <row r="104" spans="2:30" x14ac:dyDescent="0.35">
      <c r="B104" s="96">
        <v>70</v>
      </c>
      <c r="C104" s="304"/>
      <c r="D104" s="302"/>
      <c r="E104" s="302"/>
      <c r="F104" s="644"/>
      <c r="G104" s="645"/>
      <c r="H104" s="408" t="str">
        <f t="shared" si="51"/>
        <v/>
      </c>
      <c r="I104" s="408" t="str">
        <f t="shared" si="52"/>
        <v/>
      </c>
      <c r="J104" s="311"/>
      <c r="K104" s="409" t="str">
        <f t="shared" si="36"/>
        <v/>
      </c>
      <c r="L104" s="406" t="str">
        <f t="shared" si="37"/>
        <v/>
      </c>
      <c r="M104" s="407" t="str">
        <f t="shared" si="38"/>
        <v/>
      </c>
      <c r="N104" s="312"/>
      <c r="O104" s="302"/>
      <c r="P104" s="411" t="str">
        <f t="shared" si="39"/>
        <v/>
      </c>
      <c r="Q104" s="411" t="str">
        <f t="shared" si="40"/>
        <v/>
      </c>
      <c r="R104" s="313"/>
      <c r="S104" s="314"/>
      <c r="T104" s="215" t="str">
        <f t="shared" si="41"/>
        <v/>
      </c>
      <c r="U104" s="216" t="str">
        <f t="shared" si="42"/>
        <v/>
      </c>
      <c r="V104" s="216" t="str">
        <f t="shared" si="43"/>
        <v/>
      </c>
      <c r="W104" s="216" t="str">
        <f t="shared" si="44"/>
        <v/>
      </c>
      <c r="X104" s="216" t="str">
        <f t="shared" si="45"/>
        <v/>
      </c>
      <c r="Y104" s="216" t="str">
        <f t="shared" si="46"/>
        <v/>
      </c>
      <c r="Z104" s="216" t="str">
        <f t="shared" si="47"/>
        <v/>
      </c>
      <c r="AA104" s="216" t="str">
        <f t="shared" si="48"/>
        <v/>
      </c>
      <c r="AB104" s="217" t="str">
        <f t="shared" si="49"/>
        <v/>
      </c>
      <c r="AC104" s="218" t="str">
        <f t="shared" si="50"/>
        <v/>
      </c>
      <c r="AD104" s="317"/>
    </row>
    <row r="105" spans="2:30" x14ac:dyDescent="0.35">
      <c r="B105" s="96">
        <v>71</v>
      </c>
      <c r="C105" s="304"/>
      <c r="D105" s="302"/>
      <c r="E105" s="302"/>
      <c r="F105" s="644"/>
      <c r="G105" s="645"/>
      <c r="H105" s="408" t="str">
        <f t="shared" si="51"/>
        <v/>
      </c>
      <c r="I105" s="408" t="str">
        <f t="shared" si="52"/>
        <v/>
      </c>
      <c r="J105" s="311"/>
      <c r="K105" s="409" t="str">
        <f t="shared" si="36"/>
        <v/>
      </c>
      <c r="L105" s="406" t="str">
        <f t="shared" si="37"/>
        <v/>
      </c>
      <c r="M105" s="407" t="str">
        <f t="shared" si="38"/>
        <v/>
      </c>
      <c r="N105" s="312"/>
      <c r="O105" s="302"/>
      <c r="P105" s="411" t="str">
        <f t="shared" si="39"/>
        <v/>
      </c>
      <c r="Q105" s="411" t="str">
        <f t="shared" si="40"/>
        <v/>
      </c>
      <c r="R105" s="313"/>
      <c r="S105" s="314"/>
      <c r="T105" s="215" t="str">
        <f t="shared" si="41"/>
        <v/>
      </c>
      <c r="U105" s="216" t="str">
        <f t="shared" si="42"/>
        <v/>
      </c>
      <c r="V105" s="216" t="str">
        <f t="shared" si="43"/>
        <v/>
      </c>
      <c r="W105" s="216" t="str">
        <f t="shared" si="44"/>
        <v/>
      </c>
      <c r="X105" s="216" t="str">
        <f t="shared" si="45"/>
        <v/>
      </c>
      <c r="Y105" s="216" t="str">
        <f t="shared" si="46"/>
        <v/>
      </c>
      <c r="Z105" s="216" t="str">
        <f t="shared" si="47"/>
        <v/>
      </c>
      <c r="AA105" s="216" t="str">
        <f t="shared" si="48"/>
        <v/>
      </c>
      <c r="AB105" s="217" t="str">
        <f t="shared" si="49"/>
        <v/>
      </c>
      <c r="AC105" s="218" t="str">
        <f t="shared" si="50"/>
        <v/>
      </c>
      <c r="AD105" s="317"/>
    </row>
    <row r="106" spans="2:30" x14ac:dyDescent="0.35">
      <c r="B106" s="96">
        <v>72</v>
      </c>
      <c r="C106" s="304"/>
      <c r="D106" s="302"/>
      <c r="E106" s="302"/>
      <c r="F106" s="644"/>
      <c r="G106" s="645"/>
      <c r="H106" s="408" t="str">
        <f t="shared" si="51"/>
        <v/>
      </c>
      <c r="I106" s="408" t="str">
        <f t="shared" si="52"/>
        <v/>
      </c>
      <c r="J106" s="311"/>
      <c r="K106" s="409" t="str">
        <f t="shared" si="36"/>
        <v/>
      </c>
      <c r="L106" s="406" t="str">
        <f t="shared" si="37"/>
        <v/>
      </c>
      <c r="M106" s="407" t="str">
        <f t="shared" si="38"/>
        <v/>
      </c>
      <c r="N106" s="312"/>
      <c r="O106" s="302"/>
      <c r="P106" s="411" t="str">
        <f t="shared" si="39"/>
        <v/>
      </c>
      <c r="Q106" s="411" t="str">
        <f t="shared" si="40"/>
        <v/>
      </c>
      <c r="R106" s="313"/>
      <c r="S106" s="314"/>
      <c r="T106" s="215" t="str">
        <f t="shared" si="41"/>
        <v/>
      </c>
      <c r="U106" s="216" t="str">
        <f t="shared" si="42"/>
        <v/>
      </c>
      <c r="V106" s="216" t="str">
        <f t="shared" si="43"/>
        <v/>
      </c>
      <c r="W106" s="216" t="str">
        <f t="shared" si="44"/>
        <v/>
      </c>
      <c r="X106" s="216" t="str">
        <f t="shared" si="45"/>
        <v/>
      </c>
      <c r="Y106" s="216" t="str">
        <f t="shared" si="46"/>
        <v/>
      </c>
      <c r="Z106" s="216" t="str">
        <f t="shared" si="47"/>
        <v/>
      </c>
      <c r="AA106" s="216" t="str">
        <f t="shared" si="48"/>
        <v/>
      </c>
      <c r="AB106" s="217" t="str">
        <f t="shared" si="49"/>
        <v/>
      </c>
      <c r="AC106" s="218" t="str">
        <f t="shared" si="50"/>
        <v/>
      </c>
      <c r="AD106" s="317"/>
    </row>
    <row r="107" spans="2:30" x14ac:dyDescent="0.35">
      <c r="B107" s="96">
        <v>73</v>
      </c>
      <c r="C107" s="304"/>
      <c r="D107" s="302"/>
      <c r="E107" s="302"/>
      <c r="F107" s="644"/>
      <c r="G107" s="645"/>
      <c r="H107" s="408" t="str">
        <f t="shared" si="51"/>
        <v/>
      </c>
      <c r="I107" s="408" t="str">
        <f t="shared" si="52"/>
        <v/>
      </c>
      <c r="J107" s="311"/>
      <c r="K107" s="409" t="str">
        <f t="shared" si="36"/>
        <v/>
      </c>
      <c r="L107" s="406" t="str">
        <f t="shared" si="37"/>
        <v/>
      </c>
      <c r="M107" s="407" t="str">
        <f t="shared" si="38"/>
        <v/>
      </c>
      <c r="N107" s="312"/>
      <c r="O107" s="302"/>
      <c r="P107" s="411" t="str">
        <f t="shared" si="39"/>
        <v/>
      </c>
      <c r="Q107" s="411" t="str">
        <f t="shared" si="40"/>
        <v/>
      </c>
      <c r="R107" s="313"/>
      <c r="S107" s="314"/>
      <c r="T107" s="215" t="str">
        <f t="shared" si="41"/>
        <v/>
      </c>
      <c r="U107" s="216" t="str">
        <f t="shared" si="42"/>
        <v/>
      </c>
      <c r="V107" s="216" t="str">
        <f t="shared" si="43"/>
        <v/>
      </c>
      <c r="W107" s="216" t="str">
        <f t="shared" si="44"/>
        <v/>
      </c>
      <c r="X107" s="216" t="str">
        <f t="shared" si="45"/>
        <v/>
      </c>
      <c r="Y107" s="216" t="str">
        <f t="shared" si="46"/>
        <v/>
      </c>
      <c r="Z107" s="216" t="str">
        <f t="shared" si="47"/>
        <v/>
      </c>
      <c r="AA107" s="216" t="str">
        <f t="shared" si="48"/>
        <v/>
      </c>
      <c r="AB107" s="217" t="str">
        <f t="shared" si="49"/>
        <v/>
      </c>
      <c r="AC107" s="218" t="str">
        <f t="shared" si="50"/>
        <v/>
      </c>
      <c r="AD107" s="317"/>
    </row>
    <row r="108" spans="2:30" x14ac:dyDescent="0.35">
      <c r="B108" s="96">
        <v>74</v>
      </c>
      <c r="C108" s="304"/>
      <c r="D108" s="302"/>
      <c r="E108" s="302"/>
      <c r="F108" s="644"/>
      <c r="G108" s="645"/>
      <c r="H108" s="408" t="str">
        <f t="shared" si="51"/>
        <v/>
      </c>
      <c r="I108" s="408" t="str">
        <f t="shared" si="52"/>
        <v/>
      </c>
      <c r="J108" s="311"/>
      <c r="K108" s="409" t="str">
        <f t="shared" si="36"/>
        <v/>
      </c>
      <c r="L108" s="406" t="str">
        <f t="shared" si="37"/>
        <v/>
      </c>
      <c r="M108" s="407" t="str">
        <f t="shared" si="38"/>
        <v/>
      </c>
      <c r="N108" s="312"/>
      <c r="O108" s="302"/>
      <c r="P108" s="411" t="str">
        <f t="shared" si="39"/>
        <v/>
      </c>
      <c r="Q108" s="411" t="str">
        <f t="shared" si="40"/>
        <v/>
      </c>
      <c r="R108" s="313"/>
      <c r="S108" s="314"/>
      <c r="T108" s="215" t="str">
        <f t="shared" si="41"/>
        <v/>
      </c>
      <c r="U108" s="216" t="str">
        <f t="shared" si="42"/>
        <v/>
      </c>
      <c r="V108" s="216" t="str">
        <f t="shared" si="43"/>
        <v/>
      </c>
      <c r="W108" s="216" t="str">
        <f t="shared" si="44"/>
        <v/>
      </c>
      <c r="X108" s="216" t="str">
        <f t="shared" si="45"/>
        <v/>
      </c>
      <c r="Y108" s="216" t="str">
        <f t="shared" si="46"/>
        <v/>
      </c>
      <c r="Z108" s="216" t="str">
        <f t="shared" si="47"/>
        <v/>
      </c>
      <c r="AA108" s="216" t="str">
        <f t="shared" si="48"/>
        <v/>
      </c>
      <c r="AB108" s="217" t="str">
        <f t="shared" si="49"/>
        <v/>
      </c>
      <c r="AC108" s="218" t="str">
        <f t="shared" si="50"/>
        <v/>
      </c>
      <c r="AD108" s="317"/>
    </row>
    <row r="109" spans="2:30" x14ac:dyDescent="0.35">
      <c r="B109" s="96">
        <v>75</v>
      </c>
      <c r="C109" s="304"/>
      <c r="D109" s="302"/>
      <c r="E109" s="302"/>
      <c r="F109" s="644"/>
      <c r="G109" s="645"/>
      <c r="H109" s="408" t="str">
        <f t="shared" si="51"/>
        <v/>
      </c>
      <c r="I109" s="408" t="str">
        <f t="shared" si="52"/>
        <v/>
      </c>
      <c r="J109" s="311"/>
      <c r="K109" s="409" t="str">
        <f t="shared" si="36"/>
        <v/>
      </c>
      <c r="L109" s="406" t="str">
        <f t="shared" si="37"/>
        <v/>
      </c>
      <c r="M109" s="407" t="str">
        <f t="shared" si="38"/>
        <v/>
      </c>
      <c r="N109" s="312"/>
      <c r="O109" s="302"/>
      <c r="P109" s="411" t="str">
        <f t="shared" si="39"/>
        <v/>
      </c>
      <c r="Q109" s="411" t="str">
        <f t="shared" si="40"/>
        <v/>
      </c>
      <c r="R109" s="313"/>
      <c r="S109" s="314"/>
      <c r="T109" s="215" t="str">
        <f t="shared" si="41"/>
        <v/>
      </c>
      <c r="U109" s="216" t="str">
        <f t="shared" si="42"/>
        <v/>
      </c>
      <c r="V109" s="216" t="str">
        <f t="shared" si="43"/>
        <v/>
      </c>
      <c r="W109" s="216" t="str">
        <f t="shared" si="44"/>
        <v/>
      </c>
      <c r="X109" s="216" t="str">
        <f t="shared" si="45"/>
        <v/>
      </c>
      <c r="Y109" s="216" t="str">
        <f t="shared" si="46"/>
        <v/>
      </c>
      <c r="Z109" s="216" t="str">
        <f t="shared" si="47"/>
        <v/>
      </c>
      <c r="AA109" s="216" t="str">
        <f t="shared" si="48"/>
        <v/>
      </c>
      <c r="AB109" s="217" t="str">
        <f t="shared" si="49"/>
        <v/>
      </c>
      <c r="AC109" s="218" t="str">
        <f t="shared" si="50"/>
        <v/>
      </c>
      <c r="AD109" s="317"/>
    </row>
    <row r="110" spans="2:30" x14ac:dyDescent="0.35">
      <c r="B110" s="96">
        <v>76</v>
      </c>
      <c r="C110" s="304"/>
      <c r="D110" s="302"/>
      <c r="E110" s="302"/>
      <c r="F110" s="644"/>
      <c r="G110" s="645"/>
      <c r="H110" s="408" t="str">
        <f t="shared" si="51"/>
        <v/>
      </c>
      <c r="I110" s="408" t="str">
        <f t="shared" si="52"/>
        <v/>
      </c>
      <c r="J110" s="311"/>
      <c r="K110" s="409" t="str">
        <f t="shared" si="36"/>
        <v/>
      </c>
      <c r="L110" s="406" t="str">
        <f t="shared" si="37"/>
        <v/>
      </c>
      <c r="M110" s="407" t="str">
        <f t="shared" si="38"/>
        <v/>
      </c>
      <c r="N110" s="312"/>
      <c r="O110" s="302"/>
      <c r="P110" s="411" t="str">
        <f t="shared" si="39"/>
        <v/>
      </c>
      <c r="Q110" s="411" t="str">
        <f t="shared" si="40"/>
        <v/>
      </c>
      <c r="R110" s="313"/>
      <c r="S110" s="314"/>
      <c r="T110" s="215" t="str">
        <f t="shared" si="41"/>
        <v/>
      </c>
      <c r="U110" s="216" t="str">
        <f t="shared" si="42"/>
        <v/>
      </c>
      <c r="V110" s="216" t="str">
        <f t="shared" si="43"/>
        <v/>
      </c>
      <c r="W110" s="216" t="str">
        <f t="shared" si="44"/>
        <v/>
      </c>
      <c r="X110" s="216" t="str">
        <f t="shared" si="45"/>
        <v/>
      </c>
      <c r="Y110" s="216" t="str">
        <f t="shared" si="46"/>
        <v/>
      </c>
      <c r="Z110" s="216" t="str">
        <f t="shared" si="47"/>
        <v/>
      </c>
      <c r="AA110" s="216" t="str">
        <f t="shared" si="48"/>
        <v/>
      </c>
      <c r="AB110" s="217" t="str">
        <f t="shared" si="49"/>
        <v/>
      </c>
      <c r="AC110" s="218" t="str">
        <f t="shared" si="50"/>
        <v/>
      </c>
      <c r="AD110" s="317"/>
    </row>
    <row r="111" spans="2:30" x14ac:dyDescent="0.35">
      <c r="B111" s="96">
        <v>77</v>
      </c>
      <c r="C111" s="304"/>
      <c r="D111" s="302"/>
      <c r="E111" s="302"/>
      <c r="F111" s="644"/>
      <c r="G111" s="645"/>
      <c r="H111" s="408" t="str">
        <f t="shared" si="51"/>
        <v/>
      </c>
      <c r="I111" s="408" t="str">
        <f t="shared" si="52"/>
        <v/>
      </c>
      <c r="J111" s="311"/>
      <c r="K111" s="409" t="str">
        <f t="shared" si="36"/>
        <v/>
      </c>
      <c r="L111" s="406" t="str">
        <f t="shared" si="37"/>
        <v/>
      </c>
      <c r="M111" s="407" t="str">
        <f t="shared" si="38"/>
        <v/>
      </c>
      <c r="N111" s="312"/>
      <c r="O111" s="302"/>
      <c r="P111" s="411" t="str">
        <f t="shared" si="39"/>
        <v/>
      </c>
      <c r="Q111" s="411" t="str">
        <f t="shared" si="40"/>
        <v/>
      </c>
      <c r="R111" s="313"/>
      <c r="S111" s="314"/>
      <c r="T111" s="215" t="str">
        <f t="shared" si="41"/>
        <v/>
      </c>
      <c r="U111" s="216" t="str">
        <f t="shared" si="42"/>
        <v/>
      </c>
      <c r="V111" s="216" t="str">
        <f t="shared" si="43"/>
        <v/>
      </c>
      <c r="W111" s="216" t="str">
        <f t="shared" si="44"/>
        <v/>
      </c>
      <c r="X111" s="216" t="str">
        <f t="shared" si="45"/>
        <v/>
      </c>
      <c r="Y111" s="216" t="str">
        <f t="shared" si="46"/>
        <v/>
      </c>
      <c r="Z111" s="216" t="str">
        <f t="shared" si="47"/>
        <v/>
      </c>
      <c r="AA111" s="216" t="str">
        <f t="shared" si="48"/>
        <v/>
      </c>
      <c r="AB111" s="217" t="str">
        <f t="shared" si="49"/>
        <v/>
      </c>
      <c r="AC111" s="218" t="str">
        <f t="shared" si="50"/>
        <v/>
      </c>
      <c r="AD111" s="317"/>
    </row>
    <row r="112" spans="2:30" x14ac:dyDescent="0.35">
      <c r="B112" s="96">
        <v>78</v>
      </c>
      <c r="C112" s="304"/>
      <c r="D112" s="302"/>
      <c r="E112" s="302"/>
      <c r="F112" s="644"/>
      <c r="G112" s="645"/>
      <c r="H112" s="408" t="str">
        <f t="shared" si="51"/>
        <v/>
      </c>
      <c r="I112" s="408" t="str">
        <f t="shared" si="52"/>
        <v/>
      </c>
      <c r="J112" s="311"/>
      <c r="K112" s="409" t="str">
        <f t="shared" si="36"/>
        <v/>
      </c>
      <c r="L112" s="406" t="str">
        <f t="shared" si="37"/>
        <v/>
      </c>
      <c r="M112" s="407" t="str">
        <f t="shared" si="38"/>
        <v/>
      </c>
      <c r="N112" s="312"/>
      <c r="O112" s="302"/>
      <c r="P112" s="411" t="str">
        <f t="shared" si="39"/>
        <v/>
      </c>
      <c r="Q112" s="411" t="str">
        <f t="shared" si="40"/>
        <v/>
      </c>
      <c r="R112" s="313"/>
      <c r="S112" s="314"/>
      <c r="T112" s="215" t="str">
        <f t="shared" si="41"/>
        <v/>
      </c>
      <c r="U112" s="216" t="str">
        <f t="shared" si="42"/>
        <v/>
      </c>
      <c r="V112" s="216" t="str">
        <f t="shared" si="43"/>
        <v/>
      </c>
      <c r="W112" s="216" t="str">
        <f t="shared" si="44"/>
        <v/>
      </c>
      <c r="X112" s="216" t="str">
        <f t="shared" si="45"/>
        <v/>
      </c>
      <c r="Y112" s="216" t="str">
        <f t="shared" si="46"/>
        <v/>
      </c>
      <c r="Z112" s="216" t="str">
        <f t="shared" si="47"/>
        <v/>
      </c>
      <c r="AA112" s="216" t="str">
        <f t="shared" si="48"/>
        <v/>
      </c>
      <c r="AB112" s="217" t="str">
        <f t="shared" si="49"/>
        <v/>
      </c>
      <c r="AC112" s="218" t="str">
        <f t="shared" si="50"/>
        <v/>
      </c>
      <c r="AD112" s="317"/>
    </row>
    <row r="113" spans="2:30" x14ac:dyDescent="0.35">
      <c r="B113" s="96">
        <v>79</v>
      </c>
      <c r="C113" s="304"/>
      <c r="D113" s="302"/>
      <c r="E113" s="302"/>
      <c r="F113" s="644"/>
      <c r="G113" s="645"/>
      <c r="H113" s="408" t="str">
        <f t="shared" si="51"/>
        <v/>
      </c>
      <c r="I113" s="408" t="str">
        <f t="shared" si="52"/>
        <v/>
      </c>
      <c r="J113" s="311"/>
      <c r="K113" s="409" t="str">
        <f t="shared" si="36"/>
        <v/>
      </c>
      <c r="L113" s="406" t="str">
        <f t="shared" si="37"/>
        <v/>
      </c>
      <c r="M113" s="407" t="str">
        <f t="shared" si="38"/>
        <v/>
      </c>
      <c r="N113" s="312"/>
      <c r="O113" s="302"/>
      <c r="P113" s="411" t="str">
        <f t="shared" si="39"/>
        <v/>
      </c>
      <c r="Q113" s="411" t="str">
        <f t="shared" si="40"/>
        <v/>
      </c>
      <c r="R113" s="313"/>
      <c r="S113" s="314"/>
      <c r="T113" s="215" t="str">
        <f t="shared" si="41"/>
        <v/>
      </c>
      <c r="U113" s="216" t="str">
        <f t="shared" si="42"/>
        <v/>
      </c>
      <c r="V113" s="216" t="str">
        <f t="shared" si="43"/>
        <v/>
      </c>
      <c r="W113" s="216" t="str">
        <f t="shared" si="44"/>
        <v/>
      </c>
      <c r="X113" s="216" t="str">
        <f t="shared" si="45"/>
        <v/>
      </c>
      <c r="Y113" s="216" t="str">
        <f t="shared" si="46"/>
        <v/>
      </c>
      <c r="Z113" s="216" t="str">
        <f t="shared" si="47"/>
        <v/>
      </c>
      <c r="AA113" s="216" t="str">
        <f t="shared" si="48"/>
        <v/>
      </c>
      <c r="AB113" s="217" t="str">
        <f t="shared" si="49"/>
        <v/>
      </c>
      <c r="AC113" s="218" t="str">
        <f t="shared" si="50"/>
        <v/>
      </c>
      <c r="AD113" s="317"/>
    </row>
    <row r="114" spans="2:30" x14ac:dyDescent="0.35">
      <c r="B114" s="96">
        <v>80</v>
      </c>
      <c r="C114" s="304"/>
      <c r="D114" s="302"/>
      <c r="E114" s="302"/>
      <c r="F114" s="644"/>
      <c r="G114" s="645"/>
      <c r="H114" s="408" t="str">
        <f t="shared" si="51"/>
        <v/>
      </c>
      <c r="I114" s="408" t="str">
        <f t="shared" si="52"/>
        <v/>
      </c>
      <c r="J114" s="311"/>
      <c r="K114" s="409" t="str">
        <f t="shared" si="36"/>
        <v/>
      </c>
      <c r="L114" s="406" t="str">
        <f t="shared" si="37"/>
        <v/>
      </c>
      <c r="M114" s="407" t="str">
        <f t="shared" si="38"/>
        <v/>
      </c>
      <c r="N114" s="312"/>
      <c r="O114" s="302"/>
      <c r="P114" s="411" t="str">
        <f t="shared" si="39"/>
        <v/>
      </c>
      <c r="Q114" s="411" t="str">
        <f t="shared" si="40"/>
        <v/>
      </c>
      <c r="R114" s="313"/>
      <c r="S114" s="314"/>
      <c r="T114" s="215" t="str">
        <f t="shared" si="41"/>
        <v/>
      </c>
      <c r="U114" s="216" t="str">
        <f t="shared" si="42"/>
        <v/>
      </c>
      <c r="V114" s="216" t="str">
        <f t="shared" si="43"/>
        <v/>
      </c>
      <c r="W114" s="216" t="str">
        <f t="shared" si="44"/>
        <v/>
      </c>
      <c r="X114" s="216" t="str">
        <f t="shared" si="45"/>
        <v/>
      </c>
      <c r="Y114" s="216" t="str">
        <f t="shared" si="46"/>
        <v/>
      </c>
      <c r="Z114" s="216" t="str">
        <f t="shared" si="47"/>
        <v/>
      </c>
      <c r="AA114" s="216" t="str">
        <f t="shared" si="48"/>
        <v/>
      </c>
      <c r="AB114" s="217" t="str">
        <f t="shared" si="49"/>
        <v/>
      </c>
      <c r="AC114" s="218" t="str">
        <f t="shared" si="50"/>
        <v/>
      </c>
      <c r="AD114" s="317"/>
    </row>
    <row r="115" spans="2:30" x14ac:dyDescent="0.35">
      <c r="B115" s="96">
        <v>81</v>
      </c>
      <c r="C115" s="304"/>
      <c r="D115" s="302"/>
      <c r="E115" s="302"/>
      <c r="F115" s="644"/>
      <c r="G115" s="645"/>
      <c r="H115" s="408" t="str">
        <f t="shared" si="51"/>
        <v/>
      </c>
      <c r="I115" s="408" t="str">
        <f t="shared" si="52"/>
        <v/>
      </c>
      <c r="J115" s="311"/>
      <c r="K115" s="409" t="str">
        <f t="shared" si="36"/>
        <v/>
      </c>
      <c r="L115" s="406" t="str">
        <f t="shared" si="37"/>
        <v/>
      </c>
      <c r="M115" s="407" t="str">
        <f t="shared" si="38"/>
        <v/>
      </c>
      <c r="N115" s="312"/>
      <c r="O115" s="302"/>
      <c r="P115" s="411" t="str">
        <f t="shared" si="39"/>
        <v/>
      </c>
      <c r="Q115" s="411" t="str">
        <f t="shared" si="40"/>
        <v/>
      </c>
      <c r="R115" s="313"/>
      <c r="S115" s="314"/>
      <c r="T115" s="215" t="str">
        <f t="shared" si="41"/>
        <v/>
      </c>
      <c r="U115" s="216" t="str">
        <f t="shared" si="42"/>
        <v/>
      </c>
      <c r="V115" s="216" t="str">
        <f t="shared" si="43"/>
        <v/>
      </c>
      <c r="W115" s="216" t="str">
        <f t="shared" si="44"/>
        <v/>
      </c>
      <c r="X115" s="216" t="str">
        <f t="shared" si="45"/>
        <v/>
      </c>
      <c r="Y115" s="216" t="str">
        <f t="shared" si="46"/>
        <v/>
      </c>
      <c r="Z115" s="216" t="str">
        <f t="shared" si="47"/>
        <v/>
      </c>
      <c r="AA115" s="216" t="str">
        <f t="shared" si="48"/>
        <v/>
      </c>
      <c r="AB115" s="217" t="str">
        <f t="shared" si="49"/>
        <v/>
      </c>
      <c r="AC115" s="218" t="str">
        <f t="shared" si="50"/>
        <v/>
      </c>
      <c r="AD115" s="317"/>
    </row>
    <row r="116" spans="2:30" x14ac:dyDescent="0.35">
      <c r="B116" s="96">
        <v>82</v>
      </c>
      <c r="C116" s="304"/>
      <c r="D116" s="302"/>
      <c r="E116" s="302"/>
      <c r="F116" s="644"/>
      <c r="G116" s="645"/>
      <c r="H116" s="408" t="str">
        <f t="shared" si="51"/>
        <v/>
      </c>
      <c r="I116" s="408" t="str">
        <f t="shared" si="52"/>
        <v/>
      </c>
      <c r="J116" s="311"/>
      <c r="K116" s="409" t="str">
        <f t="shared" si="36"/>
        <v/>
      </c>
      <c r="L116" s="406" t="str">
        <f t="shared" si="37"/>
        <v/>
      </c>
      <c r="M116" s="407" t="str">
        <f t="shared" si="38"/>
        <v/>
      </c>
      <c r="N116" s="312"/>
      <c r="O116" s="302"/>
      <c r="P116" s="411" t="str">
        <f t="shared" si="39"/>
        <v/>
      </c>
      <c r="Q116" s="411" t="str">
        <f t="shared" si="40"/>
        <v/>
      </c>
      <c r="R116" s="313"/>
      <c r="S116" s="314"/>
      <c r="T116" s="215" t="str">
        <f t="shared" si="41"/>
        <v/>
      </c>
      <c r="U116" s="216" t="str">
        <f t="shared" si="42"/>
        <v/>
      </c>
      <c r="V116" s="216" t="str">
        <f t="shared" si="43"/>
        <v/>
      </c>
      <c r="W116" s="216" t="str">
        <f t="shared" si="44"/>
        <v/>
      </c>
      <c r="X116" s="216" t="str">
        <f t="shared" si="45"/>
        <v/>
      </c>
      <c r="Y116" s="216" t="str">
        <f t="shared" si="46"/>
        <v/>
      </c>
      <c r="Z116" s="216" t="str">
        <f t="shared" si="47"/>
        <v/>
      </c>
      <c r="AA116" s="216" t="str">
        <f t="shared" si="48"/>
        <v/>
      </c>
      <c r="AB116" s="217" t="str">
        <f t="shared" si="49"/>
        <v/>
      </c>
      <c r="AC116" s="218" t="str">
        <f t="shared" si="50"/>
        <v/>
      </c>
      <c r="AD116" s="317"/>
    </row>
    <row r="117" spans="2:30" x14ac:dyDescent="0.35">
      <c r="B117" s="96">
        <v>83</v>
      </c>
      <c r="C117" s="304"/>
      <c r="D117" s="302"/>
      <c r="E117" s="302"/>
      <c r="F117" s="644"/>
      <c r="G117" s="645"/>
      <c r="H117" s="408" t="str">
        <f t="shared" si="51"/>
        <v/>
      </c>
      <c r="I117" s="408" t="str">
        <f t="shared" si="52"/>
        <v/>
      </c>
      <c r="J117" s="311"/>
      <c r="K117" s="409" t="str">
        <f t="shared" si="36"/>
        <v/>
      </c>
      <c r="L117" s="406" t="str">
        <f t="shared" si="37"/>
        <v/>
      </c>
      <c r="M117" s="407" t="str">
        <f t="shared" si="38"/>
        <v/>
      </c>
      <c r="N117" s="312"/>
      <c r="O117" s="302"/>
      <c r="P117" s="411" t="str">
        <f t="shared" si="39"/>
        <v/>
      </c>
      <c r="Q117" s="411" t="str">
        <f t="shared" si="40"/>
        <v/>
      </c>
      <c r="R117" s="313"/>
      <c r="S117" s="314"/>
      <c r="T117" s="215" t="str">
        <f t="shared" si="41"/>
        <v/>
      </c>
      <c r="U117" s="216" t="str">
        <f t="shared" si="42"/>
        <v/>
      </c>
      <c r="V117" s="216" t="str">
        <f t="shared" si="43"/>
        <v/>
      </c>
      <c r="W117" s="216" t="str">
        <f t="shared" si="44"/>
        <v/>
      </c>
      <c r="X117" s="216" t="str">
        <f t="shared" si="45"/>
        <v/>
      </c>
      <c r="Y117" s="216" t="str">
        <f t="shared" si="46"/>
        <v/>
      </c>
      <c r="Z117" s="216" t="str">
        <f t="shared" si="47"/>
        <v/>
      </c>
      <c r="AA117" s="216" t="str">
        <f t="shared" si="48"/>
        <v/>
      </c>
      <c r="AB117" s="217" t="str">
        <f t="shared" si="49"/>
        <v/>
      </c>
      <c r="AC117" s="218" t="str">
        <f t="shared" si="50"/>
        <v/>
      </c>
      <c r="AD117" s="317"/>
    </row>
    <row r="118" spans="2:30" x14ac:dyDescent="0.35">
      <c r="B118" s="96">
        <v>84</v>
      </c>
      <c r="C118" s="304"/>
      <c r="D118" s="302"/>
      <c r="E118" s="302"/>
      <c r="F118" s="644"/>
      <c r="G118" s="645"/>
      <c r="H118" s="408" t="str">
        <f t="shared" si="51"/>
        <v/>
      </c>
      <c r="I118" s="408" t="str">
        <f t="shared" si="52"/>
        <v/>
      </c>
      <c r="J118" s="311"/>
      <c r="K118" s="409" t="str">
        <f t="shared" si="36"/>
        <v/>
      </c>
      <c r="L118" s="406" t="str">
        <f t="shared" si="37"/>
        <v/>
      </c>
      <c r="M118" s="407" t="str">
        <f t="shared" si="38"/>
        <v/>
      </c>
      <c r="N118" s="312"/>
      <c r="O118" s="302"/>
      <c r="P118" s="411" t="str">
        <f t="shared" si="39"/>
        <v/>
      </c>
      <c r="Q118" s="411" t="str">
        <f t="shared" si="40"/>
        <v/>
      </c>
      <c r="R118" s="313"/>
      <c r="S118" s="314"/>
      <c r="T118" s="215" t="str">
        <f t="shared" si="41"/>
        <v/>
      </c>
      <c r="U118" s="216" t="str">
        <f t="shared" si="42"/>
        <v/>
      </c>
      <c r="V118" s="216" t="str">
        <f t="shared" si="43"/>
        <v/>
      </c>
      <c r="W118" s="216" t="str">
        <f t="shared" si="44"/>
        <v/>
      </c>
      <c r="X118" s="216" t="str">
        <f t="shared" si="45"/>
        <v/>
      </c>
      <c r="Y118" s="216" t="str">
        <f t="shared" si="46"/>
        <v/>
      </c>
      <c r="Z118" s="216" t="str">
        <f t="shared" si="47"/>
        <v/>
      </c>
      <c r="AA118" s="216" t="str">
        <f t="shared" si="48"/>
        <v/>
      </c>
      <c r="AB118" s="217" t="str">
        <f t="shared" si="49"/>
        <v/>
      </c>
      <c r="AC118" s="218" t="str">
        <f t="shared" si="50"/>
        <v/>
      </c>
      <c r="AD118" s="317"/>
    </row>
    <row r="119" spans="2:30" x14ac:dyDescent="0.35">
      <c r="B119" s="96">
        <v>85</v>
      </c>
      <c r="C119" s="304"/>
      <c r="D119" s="302"/>
      <c r="E119" s="302"/>
      <c r="F119" s="644"/>
      <c r="G119" s="645"/>
      <c r="H119" s="408" t="str">
        <f t="shared" si="51"/>
        <v/>
      </c>
      <c r="I119" s="408" t="str">
        <f t="shared" si="52"/>
        <v/>
      </c>
      <c r="J119" s="311"/>
      <c r="K119" s="409" t="str">
        <f t="shared" si="36"/>
        <v/>
      </c>
      <c r="L119" s="406" t="str">
        <f t="shared" si="37"/>
        <v/>
      </c>
      <c r="M119" s="407" t="str">
        <f t="shared" si="38"/>
        <v/>
      </c>
      <c r="N119" s="312"/>
      <c r="O119" s="302"/>
      <c r="P119" s="411" t="str">
        <f t="shared" si="39"/>
        <v/>
      </c>
      <c r="Q119" s="411" t="str">
        <f t="shared" si="40"/>
        <v/>
      </c>
      <c r="R119" s="313"/>
      <c r="S119" s="314"/>
      <c r="T119" s="215" t="str">
        <f t="shared" si="41"/>
        <v/>
      </c>
      <c r="U119" s="216" t="str">
        <f t="shared" si="42"/>
        <v/>
      </c>
      <c r="V119" s="216" t="str">
        <f t="shared" si="43"/>
        <v/>
      </c>
      <c r="W119" s="216" t="str">
        <f t="shared" si="44"/>
        <v/>
      </c>
      <c r="X119" s="216" t="str">
        <f t="shared" si="45"/>
        <v/>
      </c>
      <c r="Y119" s="216" t="str">
        <f t="shared" si="46"/>
        <v/>
      </c>
      <c r="Z119" s="216" t="str">
        <f t="shared" si="47"/>
        <v/>
      </c>
      <c r="AA119" s="216" t="str">
        <f t="shared" si="48"/>
        <v/>
      </c>
      <c r="AB119" s="217" t="str">
        <f t="shared" si="49"/>
        <v/>
      </c>
      <c r="AC119" s="218" t="str">
        <f t="shared" si="50"/>
        <v/>
      </c>
      <c r="AD119" s="317"/>
    </row>
    <row r="120" spans="2:30" x14ac:dyDescent="0.35">
      <c r="B120" s="96">
        <v>86</v>
      </c>
      <c r="C120" s="304"/>
      <c r="D120" s="302"/>
      <c r="E120" s="302"/>
      <c r="F120" s="644"/>
      <c r="G120" s="645"/>
      <c r="H120" s="408" t="str">
        <f t="shared" si="51"/>
        <v/>
      </c>
      <c r="I120" s="408" t="str">
        <f t="shared" si="52"/>
        <v/>
      </c>
      <c r="J120" s="311"/>
      <c r="K120" s="409" t="str">
        <f t="shared" si="36"/>
        <v/>
      </c>
      <c r="L120" s="406" t="str">
        <f t="shared" si="37"/>
        <v/>
      </c>
      <c r="M120" s="407" t="str">
        <f t="shared" si="38"/>
        <v/>
      </c>
      <c r="N120" s="312"/>
      <c r="O120" s="302"/>
      <c r="P120" s="411" t="str">
        <f t="shared" si="39"/>
        <v/>
      </c>
      <c r="Q120" s="411" t="str">
        <f t="shared" si="40"/>
        <v/>
      </c>
      <c r="R120" s="313"/>
      <c r="S120" s="314"/>
      <c r="T120" s="215" t="str">
        <f t="shared" si="41"/>
        <v/>
      </c>
      <c r="U120" s="216" t="str">
        <f t="shared" si="42"/>
        <v/>
      </c>
      <c r="V120" s="216" t="str">
        <f t="shared" si="43"/>
        <v/>
      </c>
      <c r="W120" s="216" t="str">
        <f t="shared" si="44"/>
        <v/>
      </c>
      <c r="X120" s="216" t="str">
        <f t="shared" si="45"/>
        <v/>
      </c>
      <c r="Y120" s="216" t="str">
        <f t="shared" si="46"/>
        <v/>
      </c>
      <c r="Z120" s="216" t="str">
        <f t="shared" si="47"/>
        <v/>
      </c>
      <c r="AA120" s="216" t="str">
        <f t="shared" si="48"/>
        <v/>
      </c>
      <c r="AB120" s="217" t="str">
        <f t="shared" si="49"/>
        <v/>
      </c>
      <c r="AC120" s="218" t="str">
        <f t="shared" si="50"/>
        <v/>
      </c>
      <c r="AD120" s="317"/>
    </row>
    <row r="121" spans="2:30" x14ac:dyDescent="0.35">
      <c r="B121" s="96">
        <v>87</v>
      </c>
      <c r="C121" s="304"/>
      <c r="D121" s="302"/>
      <c r="E121" s="302"/>
      <c r="F121" s="644"/>
      <c r="G121" s="645"/>
      <c r="H121" s="408" t="str">
        <f t="shared" si="51"/>
        <v/>
      </c>
      <c r="I121" s="408" t="str">
        <f t="shared" si="52"/>
        <v/>
      </c>
      <c r="J121" s="311"/>
      <c r="K121" s="409" t="str">
        <f t="shared" si="36"/>
        <v/>
      </c>
      <c r="L121" s="406" t="str">
        <f t="shared" si="37"/>
        <v/>
      </c>
      <c r="M121" s="407" t="str">
        <f t="shared" si="38"/>
        <v/>
      </c>
      <c r="N121" s="312"/>
      <c r="O121" s="302"/>
      <c r="P121" s="411" t="str">
        <f t="shared" si="39"/>
        <v/>
      </c>
      <c r="Q121" s="411" t="str">
        <f t="shared" si="40"/>
        <v/>
      </c>
      <c r="R121" s="313"/>
      <c r="S121" s="314"/>
      <c r="T121" s="215" t="str">
        <f t="shared" si="41"/>
        <v/>
      </c>
      <c r="U121" s="216" t="str">
        <f t="shared" si="42"/>
        <v/>
      </c>
      <c r="V121" s="216" t="str">
        <f t="shared" si="43"/>
        <v/>
      </c>
      <c r="W121" s="216" t="str">
        <f t="shared" si="44"/>
        <v/>
      </c>
      <c r="X121" s="216" t="str">
        <f t="shared" si="45"/>
        <v/>
      </c>
      <c r="Y121" s="216" t="str">
        <f t="shared" si="46"/>
        <v/>
      </c>
      <c r="Z121" s="216" t="str">
        <f t="shared" si="47"/>
        <v/>
      </c>
      <c r="AA121" s="216" t="str">
        <f t="shared" si="48"/>
        <v/>
      </c>
      <c r="AB121" s="217" t="str">
        <f t="shared" si="49"/>
        <v/>
      </c>
      <c r="AC121" s="218" t="str">
        <f t="shared" si="50"/>
        <v/>
      </c>
      <c r="AD121" s="317"/>
    </row>
    <row r="122" spans="2:30" x14ac:dyDescent="0.35">
      <c r="B122" s="96">
        <v>88</v>
      </c>
      <c r="C122" s="304"/>
      <c r="D122" s="302"/>
      <c r="E122" s="302"/>
      <c r="F122" s="644"/>
      <c r="G122" s="645"/>
      <c r="H122" s="408" t="str">
        <f t="shared" si="51"/>
        <v/>
      </c>
      <c r="I122" s="408" t="str">
        <f t="shared" si="52"/>
        <v/>
      </c>
      <c r="J122" s="311"/>
      <c r="K122" s="409" t="str">
        <f t="shared" si="36"/>
        <v/>
      </c>
      <c r="L122" s="406" t="str">
        <f t="shared" si="37"/>
        <v/>
      </c>
      <c r="M122" s="407" t="str">
        <f t="shared" si="38"/>
        <v/>
      </c>
      <c r="N122" s="312"/>
      <c r="O122" s="302"/>
      <c r="P122" s="411" t="str">
        <f t="shared" si="39"/>
        <v/>
      </c>
      <c r="Q122" s="411" t="str">
        <f t="shared" si="40"/>
        <v/>
      </c>
      <c r="R122" s="313"/>
      <c r="S122" s="314"/>
      <c r="T122" s="215" t="str">
        <f t="shared" si="41"/>
        <v/>
      </c>
      <c r="U122" s="216" t="str">
        <f t="shared" si="42"/>
        <v/>
      </c>
      <c r="V122" s="216" t="str">
        <f t="shared" si="43"/>
        <v/>
      </c>
      <c r="W122" s="216" t="str">
        <f t="shared" si="44"/>
        <v/>
      </c>
      <c r="X122" s="216" t="str">
        <f t="shared" si="45"/>
        <v/>
      </c>
      <c r="Y122" s="216" t="str">
        <f t="shared" si="46"/>
        <v/>
      </c>
      <c r="Z122" s="216" t="str">
        <f t="shared" si="47"/>
        <v/>
      </c>
      <c r="AA122" s="216" t="str">
        <f t="shared" si="48"/>
        <v/>
      </c>
      <c r="AB122" s="217" t="str">
        <f t="shared" si="49"/>
        <v/>
      </c>
      <c r="AC122" s="218" t="str">
        <f t="shared" si="50"/>
        <v/>
      </c>
      <c r="AD122" s="317"/>
    </row>
    <row r="123" spans="2:30" x14ac:dyDescent="0.35">
      <c r="B123" s="96">
        <v>89</v>
      </c>
      <c r="C123" s="304"/>
      <c r="D123" s="302"/>
      <c r="E123" s="302"/>
      <c r="F123" s="644"/>
      <c r="G123" s="645"/>
      <c r="H123" s="408" t="str">
        <f t="shared" si="51"/>
        <v/>
      </c>
      <c r="I123" s="408" t="str">
        <f t="shared" si="52"/>
        <v/>
      </c>
      <c r="J123" s="311"/>
      <c r="K123" s="409" t="str">
        <f t="shared" si="36"/>
        <v/>
      </c>
      <c r="L123" s="406" t="str">
        <f t="shared" si="37"/>
        <v/>
      </c>
      <c r="M123" s="407" t="str">
        <f t="shared" si="38"/>
        <v/>
      </c>
      <c r="N123" s="312"/>
      <c r="O123" s="302"/>
      <c r="P123" s="411" t="str">
        <f t="shared" si="39"/>
        <v/>
      </c>
      <c r="Q123" s="411" t="str">
        <f t="shared" si="40"/>
        <v/>
      </c>
      <c r="R123" s="313"/>
      <c r="S123" s="314"/>
      <c r="T123" s="215" t="str">
        <f t="shared" si="41"/>
        <v/>
      </c>
      <c r="U123" s="216" t="str">
        <f t="shared" si="42"/>
        <v/>
      </c>
      <c r="V123" s="216" t="str">
        <f t="shared" si="43"/>
        <v/>
      </c>
      <c r="W123" s="216" t="str">
        <f t="shared" si="44"/>
        <v/>
      </c>
      <c r="X123" s="216" t="str">
        <f t="shared" si="45"/>
        <v/>
      </c>
      <c r="Y123" s="216" t="str">
        <f t="shared" si="46"/>
        <v/>
      </c>
      <c r="Z123" s="216" t="str">
        <f t="shared" si="47"/>
        <v/>
      </c>
      <c r="AA123" s="216" t="str">
        <f t="shared" si="48"/>
        <v/>
      </c>
      <c r="AB123" s="217" t="str">
        <f t="shared" si="49"/>
        <v/>
      </c>
      <c r="AC123" s="218" t="str">
        <f t="shared" si="50"/>
        <v/>
      </c>
      <c r="AD123" s="317"/>
    </row>
    <row r="124" spans="2:30" x14ac:dyDescent="0.35">
      <c r="B124" s="96">
        <v>90</v>
      </c>
      <c r="C124" s="304"/>
      <c r="D124" s="302"/>
      <c r="E124" s="302"/>
      <c r="F124" s="644"/>
      <c r="G124" s="645"/>
      <c r="H124" s="408" t="str">
        <f t="shared" si="51"/>
        <v/>
      </c>
      <c r="I124" s="408" t="str">
        <f t="shared" si="52"/>
        <v/>
      </c>
      <c r="J124" s="311"/>
      <c r="K124" s="409" t="str">
        <f t="shared" si="36"/>
        <v/>
      </c>
      <c r="L124" s="406" t="str">
        <f t="shared" si="37"/>
        <v/>
      </c>
      <c r="M124" s="407" t="str">
        <f t="shared" si="38"/>
        <v/>
      </c>
      <c r="N124" s="312"/>
      <c r="O124" s="302"/>
      <c r="P124" s="411" t="str">
        <f t="shared" si="39"/>
        <v/>
      </c>
      <c r="Q124" s="411" t="str">
        <f t="shared" si="40"/>
        <v/>
      </c>
      <c r="R124" s="313"/>
      <c r="S124" s="314"/>
      <c r="T124" s="215" t="str">
        <f t="shared" si="41"/>
        <v/>
      </c>
      <c r="U124" s="216" t="str">
        <f t="shared" si="42"/>
        <v/>
      </c>
      <c r="V124" s="216" t="str">
        <f t="shared" si="43"/>
        <v/>
      </c>
      <c r="W124" s="216" t="str">
        <f t="shared" si="44"/>
        <v/>
      </c>
      <c r="X124" s="216" t="str">
        <f t="shared" si="45"/>
        <v/>
      </c>
      <c r="Y124" s="216" t="str">
        <f t="shared" si="46"/>
        <v/>
      </c>
      <c r="Z124" s="216" t="str">
        <f t="shared" si="47"/>
        <v/>
      </c>
      <c r="AA124" s="216" t="str">
        <f t="shared" si="48"/>
        <v/>
      </c>
      <c r="AB124" s="217" t="str">
        <f t="shared" si="49"/>
        <v/>
      </c>
      <c r="AC124" s="218" t="str">
        <f t="shared" si="50"/>
        <v/>
      </c>
      <c r="AD124" s="317"/>
    </row>
    <row r="125" spans="2:30" x14ac:dyDescent="0.35">
      <c r="B125" s="96">
        <v>91</v>
      </c>
      <c r="C125" s="304"/>
      <c r="D125" s="302"/>
      <c r="E125" s="302"/>
      <c r="F125" s="644"/>
      <c r="G125" s="645"/>
      <c r="H125" s="408" t="str">
        <f t="shared" si="51"/>
        <v/>
      </c>
      <c r="I125" s="408" t="str">
        <f t="shared" si="52"/>
        <v/>
      </c>
      <c r="J125" s="311"/>
      <c r="K125" s="409" t="str">
        <f t="shared" si="36"/>
        <v/>
      </c>
      <c r="L125" s="406" t="str">
        <f t="shared" si="37"/>
        <v/>
      </c>
      <c r="M125" s="407" t="str">
        <f t="shared" si="38"/>
        <v/>
      </c>
      <c r="N125" s="312"/>
      <c r="O125" s="302"/>
      <c r="P125" s="411" t="str">
        <f t="shared" si="39"/>
        <v/>
      </c>
      <c r="Q125" s="411" t="str">
        <f t="shared" si="40"/>
        <v/>
      </c>
      <c r="R125" s="313"/>
      <c r="S125" s="314"/>
      <c r="T125" s="215" t="str">
        <f t="shared" si="41"/>
        <v/>
      </c>
      <c r="U125" s="216" t="str">
        <f t="shared" si="42"/>
        <v/>
      </c>
      <c r="V125" s="216" t="str">
        <f t="shared" si="43"/>
        <v/>
      </c>
      <c r="W125" s="216" t="str">
        <f t="shared" si="44"/>
        <v/>
      </c>
      <c r="X125" s="216" t="str">
        <f t="shared" si="45"/>
        <v/>
      </c>
      <c r="Y125" s="216" t="str">
        <f t="shared" si="46"/>
        <v/>
      </c>
      <c r="Z125" s="216" t="str">
        <f t="shared" si="47"/>
        <v/>
      </c>
      <c r="AA125" s="216" t="str">
        <f t="shared" si="48"/>
        <v/>
      </c>
      <c r="AB125" s="217" t="str">
        <f t="shared" si="49"/>
        <v/>
      </c>
      <c r="AC125" s="218" t="str">
        <f t="shared" si="50"/>
        <v/>
      </c>
      <c r="AD125" s="317"/>
    </row>
    <row r="126" spans="2:30" x14ac:dyDescent="0.35">
      <c r="B126" s="96">
        <v>92</v>
      </c>
      <c r="C126" s="304"/>
      <c r="D126" s="302"/>
      <c r="E126" s="302"/>
      <c r="F126" s="644"/>
      <c r="G126" s="645"/>
      <c r="H126" s="408" t="str">
        <f t="shared" si="51"/>
        <v/>
      </c>
      <c r="I126" s="408" t="str">
        <f t="shared" si="52"/>
        <v/>
      </c>
      <c r="J126" s="311"/>
      <c r="K126" s="409" t="str">
        <f t="shared" si="36"/>
        <v/>
      </c>
      <c r="L126" s="406" t="str">
        <f t="shared" si="37"/>
        <v/>
      </c>
      <c r="M126" s="407" t="str">
        <f t="shared" si="38"/>
        <v/>
      </c>
      <c r="N126" s="312"/>
      <c r="O126" s="302"/>
      <c r="P126" s="411" t="str">
        <f t="shared" si="39"/>
        <v/>
      </c>
      <c r="Q126" s="411" t="str">
        <f t="shared" si="40"/>
        <v/>
      </c>
      <c r="R126" s="313"/>
      <c r="S126" s="314"/>
      <c r="T126" s="215" t="str">
        <f t="shared" si="41"/>
        <v/>
      </c>
      <c r="U126" s="216" t="str">
        <f t="shared" si="42"/>
        <v/>
      </c>
      <c r="V126" s="216" t="str">
        <f t="shared" si="43"/>
        <v/>
      </c>
      <c r="W126" s="216" t="str">
        <f t="shared" si="44"/>
        <v/>
      </c>
      <c r="X126" s="216" t="str">
        <f t="shared" si="45"/>
        <v/>
      </c>
      <c r="Y126" s="216" t="str">
        <f t="shared" si="46"/>
        <v/>
      </c>
      <c r="Z126" s="216" t="str">
        <f t="shared" si="47"/>
        <v/>
      </c>
      <c r="AA126" s="216" t="str">
        <f t="shared" si="48"/>
        <v/>
      </c>
      <c r="AB126" s="217" t="str">
        <f t="shared" si="49"/>
        <v/>
      </c>
      <c r="AC126" s="218" t="str">
        <f t="shared" si="50"/>
        <v/>
      </c>
      <c r="AD126" s="317"/>
    </row>
    <row r="127" spans="2:30" x14ac:dyDescent="0.35">
      <c r="B127" s="96">
        <v>93</v>
      </c>
      <c r="C127" s="304"/>
      <c r="D127" s="302"/>
      <c r="E127" s="302"/>
      <c r="F127" s="644"/>
      <c r="G127" s="645"/>
      <c r="H127" s="408" t="str">
        <f t="shared" si="51"/>
        <v/>
      </c>
      <c r="I127" s="408" t="str">
        <f t="shared" si="52"/>
        <v/>
      </c>
      <c r="J127" s="311"/>
      <c r="K127" s="409" t="str">
        <f t="shared" si="36"/>
        <v/>
      </c>
      <c r="L127" s="406" t="str">
        <f t="shared" si="37"/>
        <v/>
      </c>
      <c r="M127" s="407" t="str">
        <f t="shared" si="38"/>
        <v/>
      </c>
      <c r="N127" s="312"/>
      <c r="O127" s="302"/>
      <c r="P127" s="411" t="str">
        <f t="shared" si="39"/>
        <v/>
      </c>
      <c r="Q127" s="411" t="str">
        <f t="shared" si="40"/>
        <v/>
      </c>
      <c r="R127" s="313"/>
      <c r="S127" s="314"/>
      <c r="T127" s="215" t="str">
        <f t="shared" si="41"/>
        <v/>
      </c>
      <c r="U127" s="216" t="str">
        <f t="shared" si="42"/>
        <v/>
      </c>
      <c r="V127" s="216" t="str">
        <f t="shared" si="43"/>
        <v/>
      </c>
      <c r="W127" s="216" t="str">
        <f t="shared" si="44"/>
        <v/>
      </c>
      <c r="X127" s="216" t="str">
        <f t="shared" si="45"/>
        <v/>
      </c>
      <c r="Y127" s="216" t="str">
        <f t="shared" si="46"/>
        <v/>
      </c>
      <c r="Z127" s="216" t="str">
        <f t="shared" si="47"/>
        <v/>
      </c>
      <c r="AA127" s="216" t="str">
        <f t="shared" si="48"/>
        <v/>
      </c>
      <c r="AB127" s="217" t="str">
        <f t="shared" si="49"/>
        <v/>
      </c>
      <c r="AC127" s="218" t="str">
        <f t="shared" si="50"/>
        <v/>
      </c>
      <c r="AD127" s="317"/>
    </row>
    <row r="128" spans="2:30" x14ac:dyDescent="0.35">
      <c r="B128" s="96">
        <v>94</v>
      </c>
      <c r="C128" s="304"/>
      <c r="D128" s="302"/>
      <c r="E128" s="302"/>
      <c r="F128" s="644"/>
      <c r="G128" s="645"/>
      <c r="H128" s="408" t="str">
        <f t="shared" si="51"/>
        <v/>
      </c>
      <c r="I128" s="408" t="str">
        <f t="shared" si="52"/>
        <v/>
      </c>
      <c r="J128" s="311"/>
      <c r="K128" s="409" t="str">
        <f t="shared" si="36"/>
        <v/>
      </c>
      <c r="L128" s="406" t="str">
        <f t="shared" si="37"/>
        <v/>
      </c>
      <c r="M128" s="407" t="str">
        <f t="shared" si="38"/>
        <v/>
      </c>
      <c r="N128" s="312"/>
      <c r="O128" s="302"/>
      <c r="P128" s="411" t="str">
        <f t="shared" si="39"/>
        <v/>
      </c>
      <c r="Q128" s="411" t="str">
        <f t="shared" si="40"/>
        <v/>
      </c>
      <c r="R128" s="313"/>
      <c r="S128" s="314"/>
      <c r="T128" s="215" t="str">
        <f t="shared" si="41"/>
        <v/>
      </c>
      <c r="U128" s="216" t="str">
        <f t="shared" si="42"/>
        <v/>
      </c>
      <c r="V128" s="216" t="str">
        <f t="shared" si="43"/>
        <v/>
      </c>
      <c r="W128" s="216" t="str">
        <f t="shared" si="44"/>
        <v/>
      </c>
      <c r="X128" s="216" t="str">
        <f t="shared" si="45"/>
        <v/>
      </c>
      <c r="Y128" s="216" t="str">
        <f t="shared" si="46"/>
        <v/>
      </c>
      <c r="Z128" s="216" t="str">
        <f t="shared" si="47"/>
        <v/>
      </c>
      <c r="AA128" s="216" t="str">
        <f t="shared" si="48"/>
        <v/>
      </c>
      <c r="AB128" s="217" t="str">
        <f t="shared" si="49"/>
        <v/>
      </c>
      <c r="AC128" s="218" t="str">
        <f t="shared" si="50"/>
        <v/>
      </c>
      <c r="AD128" s="317"/>
    </row>
    <row r="129" spans="2:30" x14ac:dyDescent="0.35">
      <c r="B129" s="96">
        <v>95</v>
      </c>
      <c r="C129" s="304"/>
      <c r="D129" s="302"/>
      <c r="E129" s="302"/>
      <c r="F129" s="644"/>
      <c r="G129" s="645"/>
      <c r="H129" s="408" t="str">
        <f t="shared" si="51"/>
        <v/>
      </c>
      <c r="I129" s="408" t="str">
        <f t="shared" si="52"/>
        <v/>
      </c>
      <c r="J129" s="311"/>
      <c r="K129" s="409" t="str">
        <f t="shared" si="36"/>
        <v/>
      </c>
      <c r="L129" s="406" t="str">
        <f t="shared" si="37"/>
        <v/>
      </c>
      <c r="M129" s="407" t="str">
        <f t="shared" si="38"/>
        <v/>
      </c>
      <c r="N129" s="312"/>
      <c r="O129" s="302"/>
      <c r="P129" s="411" t="str">
        <f t="shared" si="39"/>
        <v/>
      </c>
      <c r="Q129" s="411" t="str">
        <f t="shared" si="40"/>
        <v/>
      </c>
      <c r="R129" s="313"/>
      <c r="S129" s="314"/>
      <c r="T129" s="215" t="str">
        <f t="shared" si="41"/>
        <v/>
      </c>
      <c r="U129" s="216" t="str">
        <f t="shared" si="42"/>
        <v/>
      </c>
      <c r="V129" s="216" t="str">
        <f t="shared" si="43"/>
        <v/>
      </c>
      <c r="W129" s="216" t="str">
        <f t="shared" si="44"/>
        <v/>
      </c>
      <c r="X129" s="216" t="str">
        <f t="shared" si="45"/>
        <v/>
      </c>
      <c r="Y129" s="216" t="str">
        <f t="shared" si="46"/>
        <v/>
      </c>
      <c r="Z129" s="216" t="str">
        <f t="shared" si="47"/>
        <v/>
      </c>
      <c r="AA129" s="216" t="str">
        <f t="shared" si="48"/>
        <v/>
      </c>
      <c r="AB129" s="217" t="str">
        <f t="shared" si="49"/>
        <v/>
      </c>
      <c r="AC129" s="218" t="str">
        <f t="shared" si="50"/>
        <v/>
      </c>
      <c r="AD129" s="317"/>
    </row>
    <row r="130" spans="2:30" x14ac:dyDescent="0.35">
      <c r="B130" s="96">
        <v>96</v>
      </c>
      <c r="C130" s="304"/>
      <c r="D130" s="302"/>
      <c r="E130" s="302"/>
      <c r="F130" s="644"/>
      <c r="G130" s="645"/>
      <c r="H130" s="408" t="str">
        <f t="shared" si="51"/>
        <v/>
      </c>
      <c r="I130" s="408" t="str">
        <f t="shared" si="52"/>
        <v/>
      </c>
      <c r="J130" s="311"/>
      <c r="K130" s="409" t="str">
        <f t="shared" si="36"/>
        <v/>
      </c>
      <c r="L130" s="406" t="str">
        <f t="shared" si="37"/>
        <v/>
      </c>
      <c r="M130" s="407" t="str">
        <f t="shared" si="38"/>
        <v/>
      </c>
      <c r="N130" s="312"/>
      <c r="O130" s="302"/>
      <c r="P130" s="411" t="str">
        <f t="shared" si="39"/>
        <v/>
      </c>
      <c r="Q130" s="411" t="str">
        <f t="shared" si="40"/>
        <v/>
      </c>
      <c r="R130" s="313"/>
      <c r="S130" s="314"/>
      <c r="T130" s="215" t="str">
        <f t="shared" si="41"/>
        <v/>
      </c>
      <c r="U130" s="216" t="str">
        <f t="shared" si="42"/>
        <v/>
      </c>
      <c r="V130" s="216" t="str">
        <f t="shared" si="43"/>
        <v/>
      </c>
      <c r="W130" s="216" t="str">
        <f t="shared" si="44"/>
        <v/>
      </c>
      <c r="X130" s="216" t="str">
        <f t="shared" si="45"/>
        <v/>
      </c>
      <c r="Y130" s="216" t="str">
        <f t="shared" si="46"/>
        <v/>
      </c>
      <c r="Z130" s="216" t="str">
        <f t="shared" si="47"/>
        <v/>
      </c>
      <c r="AA130" s="216" t="str">
        <f t="shared" si="48"/>
        <v/>
      </c>
      <c r="AB130" s="217" t="str">
        <f t="shared" si="49"/>
        <v/>
      </c>
      <c r="AC130" s="218" t="str">
        <f t="shared" si="50"/>
        <v/>
      </c>
      <c r="AD130" s="317"/>
    </row>
    <row r="131" spans="2:30" x14ac:dyDescent="0.35">
      <c r="B131" s="96">
        <v>97</v>
      </c>
      <c r="C131" s="304"/>
      <c r="D131" s="302"/>
      <c r="E131" s="302"/>
      <c r="F131" s="644"/>
      <c r="G131" s="645"/>
      <c r="H131" s="408" t="str">
        <f t="shared" si="51"/>
        <v/>
      </c>
      <c r="I131" s="408" t="str">
        <f t="shared" si="52"/>
        <v/>
      </c>
      <c r="J131" s="311"/>
      <c r="K131" s="409" t="str">
        <f t="shared" ref="K131:K162" si="53">IFERROR(IF(IntExt="Interior",sqft,VLOOKUP(SpaceType,ExteriorTable,9,FALSE)),"")</f>
        <v/>
      </c>
      <c r="L131" s="406" t="str">
        <f t="shared" ref="L131:L162" si="54">IF(ISBLANK(SpaceType),"",(IF(IntExt="Interior",VLOOKUP(SpaceType,InteriorTable,5,FALSE),IF(IntExt="Exterior",VLOOKUP(SpaceType,ExteriorTable,LightingZone+2,FALSE),"ERROR"))))</f>
        <v/>
      </c>
      <c r="M131" s="407" t="str">
        <f t="shared" ref="M131:M162" si="55">IFERROR(LPDb*AreaSize/1000,"")</f>
        <v/>
      </c>
      <c r="N131" s="312"/>
      <c r="O131" s="302"/>
      <c r="P131" s="411" t="str">
        <f t="shared" ref="P131:P162" si="56">IFERROR(VLOOKUP(FixtureNum,FixtureTable,5,FALSE),"")</f>
        <v/>
      </c>
      <c r="Q131" s="411" t="str">
        <f t="shared" ref="Q131:Q162" si="57">IFERROR(WperFixture*ProposedQty/1000,"")</f>
        <v/>
      </c>
      <c r="R131" s="313"/>
      <c r="S131" s="314"/>
      <c r="T131" s="215" t="str">
        <f t="shared" ref="T131:T162" si="58">IFERROR(IF(IntExt="Interior",kWbase-kWee,""),"")</f>
        <v/>
      </c>
      <c r="U131" s="216" t="str">
        <f t="shared" ref="U131:U162" si="59">IFERROR(IF(IntExt="Exterior",kWbase-kWee,""),"")</f>
        <v/>
      </c>
      <c r="V131" s="216" t="str">
        <f t="shared" ref="V131:V162" si="60">IFERROR(IF(IntExt="Exterior",0,VLOOKUP(SpaceType,InteriorTable,2,FALSE)),"")</f>
        <v/>
      </c>
      <c r="W131" s="216" t="str">
        <f t="shared" ref="W131:W162" si="61">IFERROR(IF(OR(IntExt="Exterior",Cooling="Not Cooled"),1,VLOOKUP(SpaceType,InteriorTable,6,FALSE)),"")</f>
        <v/>
      </c>
      <c r="X131" s="216" t="str">
        <f t="shared" ref="X131:X162" si="62">IFERROR(IF(OR(IntExt="Exterior",Cooling="Not Cooled"),1,VLOOKUP(SpaceType,InteriorTable,7,FALSE)),"")</f>
        <v/>
      </c>
      <c r="Y131" s="216" t="str">
        <f t="shared" ref="Y131:Y162" si="63">IF(ISBLANK(IntExt),"",IFERROR(VLOOKUP(SpaceType,ESFtable,2,FALSE), IF(IntExt="Interior",VLOOKUP("Interior|Occupancy",ESFtable,2,FALSE),VLOOKUP("Exterior|Setback",ESFtable,2,FALSE))))</f>
        <v/>
      </c>
      <c r="Z131" s="216" t="str">
        <f t="shared" ref="Z131:Z162" si="64">IFERROR(VLOOKUP(IntExt&amp;"|"&amp;PropControlType,ESFtable,2,FALSE),ESFb)</f>
        <v/>
      </c>
      <c r="AA131" s="216" t="str">
        <f t="shared" ref="AA131:AA162" si="65">IF(IntExt="Interior",VLOOKUP(SpaceType,InteriorTable,3,FALSE),IF(IntExt="Exterior",VLOOKUP(IntExt,InteriorTable,3,FALSE),""))</f>
        <v/>
      </c>
      <c r="AB131" s="217" t="str">
        <f t="shared" ref="AB131:AB162" si="66">IFERROR((kWbase-kWee)*CF*WHFd,"")</f>
        <v/>
      </c>
      <c r="AC131" s="218" t="str">
        <f t="shared" ref="AC131:AC162" si="67">IFERROR(EFLH_deemed*WHFe*(kWbase*(1-ESFb)-kWee*(1-ESFee)),"")</f>
        <v/>
      </c>
      <c r="AD131" s="317"/>
    </row>
    <row r="132" spans="2:30" x14ac:dyDescent="0.35">
      <c r="B132" s="96">
        <v>98</v>
      </c>
      <c r="C132" s="304"/>
      <c r="D132" s="302"/>
      <c r="E132" s="302"/>
      <c r="F132" s="644"/>
      <c r="G132" s="645"/>
      <c r="H132" s="408" t="str">
        <f t="shared" si="51"/>
        <v/>
      </c>
      <c r="I132" s="408" t="str">
        <f t="shared" si="52"/>
        <v/>
      </c>
      <c r="J132" s="311"/>
      <c r="K132" s="409" t="str">
        <f t="shared" si="53"/>
        <v/>
      </c>
      <c r="L132" s="406" t="str">
        <f t="shared" si="54"/>
        <v/>
      </c>
      <c r="M132" s="407" t="str">
        <f t="shared" si="55"/>
        <v/>
      </c>
      <c r="N132" s="312"/>
      <c r="O132" s="302"/>
      <c r="P132" s="411" t="str">
        <f t="shared" si="56"/>
        <v/>
      </c>
      <c r="Q132" s="411" t="str">
        <f t="shared" si="57"/>
        <v/>
      </c>
      <c r="R132" s="313"/>
      <c r="S132" s="314"/>
      <c r="T132" s="215" t="str">
        <f t="shared" si="58"/>
        <v/>
      </c>
      <c r="U132" s="216" t="str">
        <f t="shared" si="59"/>
        <v/>
      </c>
      <c r="V132" s="216" t="str">
        <f t="shared" si="60"/>
        <v/>
      </c>
      <c r="W132" s="216" t="str">
        <f t="shared" si="61"/>
        <v/>
      </c>
      <c r="X132" s="216" t="str">
        <f t="shared" si="62"/>
        <v/>
      </c>
      <c r="Y132" s="216" t="str">
        <f t="shared" si="63"/>
        <v/>
      </c>
      <c r="Z132" s="216" t="str">
        <f t="shared" si="64"/>
        <v/>
      </c>
      <c r="AA132" s="216" t="str">
        <f t="shared" si="65"/>
        <v/>
      </c>
      <c r="AB132" s="217" t="str">
        <f t="shared" si="66"/>
        <v/>
      </c>
      <c r="AC132" s="218" t="str">
        <f t="shared" si="67"/>
        <v/>
      </c>
      <c r="AD132" s="317"/>
    </row>
    <row r="133" spans="2:30" x14ac:dyDescent="0.35">
      <c r="B133" s="96">
        <v>99</v>
      </c>
      <c r="C133" s="304"/>
      <c r="D133" s="302"/>
      <c r="E133" s="302"/>
      <c r="F133" s="644"/>
      <c r="G133" s="645"/>
      <c r="H133" s="408" t="str">
        <f t="shared" si="51"/>
        <v/>
      </c>
      <c r="I133" s="408" t="str">
        <f t="shared" si="52"/>
        <v/>
      </c>
      <c r="J133" s="311"/>
      <c r="K133" s="409" t="str">
        <f t="shared" si="53"/>
        <v/>
      </c>
      <c r="L133" s="406" t="str">
        <f t="shared" si="54"/>
        <v/>
      </c>
      <c r="M133" s="407" t="str">
        <f t="shared" si="55"/>
        <v/>
      </c>
      <c r="N133" s="312"/>
      <c r="O133" s="302"/>
      <c r="P133" s="411" t="str">
        <f t="shared" si="56"/>
        <v/>
      </c>
      <c r="Q133" s="411" t="str">
        <f t="shared" si="57"/>
        <v/>
      </c>
      <c r="R133" s="313"/>
      <c r="S133" s="314"/>
      <c r="T133" s="215" t="str">
        <f t="shared" si="58"/>
        <v/>
      </c>
      <c r="U133" s="216" t="str">
        <f t="shared" si="59"/>
        <v/>
      </c>
      <c r="V133" s="216" t="str">
        <f t="shared" si="60"/>
        <v/>
      </c>
      <c r="W133" s="216" t="str">
        <f t="shared" si="61"/>
        <v/>
      </c>
      <c r="X133" s="216" t="str">
        <f t="shared" si="62"/>
        <v/>
      </c>
      <c r="Y133" s="216" t="str">
        <f t="shared" si="63"/>
        <v/>
      </c>
      <c r="Z133" s="216" t="str">
        <f t="shared" si="64"/>
        <v/>
      </c>
      <c r="AA133" s="216" t="str">
        <f t="shared" si="65"/>
        <v/>
      </c>
      <c r="AB133" s="217" t="str">
        <f t="shared" si="66"/>
        <v/>
      </c>
      <c r="AC133" s="218" t="str">
        <f t="shared" si="67"/>
        <v/>
      </c>
      <c r="AD133" s="317"/>
    </row>
    <row r="134" spans="2:30" x14ac:dyDescent="0.35">
      <c r="B134" s="96">
        <v>100</v>
      </c>
      <c r="C134" s="304"/>
      <c r="D134" s="302"/>
      <c r="E134" s="302"/>
      <c r="F134" s="644"/>
      <c r="G134" s="645"/>
      <c r="H134" s="408" t="str">
        <f t="shared" si="51"/>
        <v/>
      </c>
      <c r="I134" s="408" t="str">
        <f t="shared" si="52"/>
        <v/>
      </c>
      <c r="J134" s="311"/>
      <c r="K134" s="409" t="str">
        <f t="shared" si="53"/>
        <v/>
      </c>
      <c r="L134" s="406" t="str">
        <f t="shared" si="54"/>
        <v/>
      </c>
      <c r="M134" s="407" t="str">
        <f t="shared" si="55"/>
        <v/>
      </c>
      <c r="N134" s="312"/>
      <c r="O134" s="302"/>
      <c r="P134" s="411" t="str">
        <f t="shared" si="56"/>
        <v/>
      </c>
      <c r="Q134" s="411" t="str">
        <f t="shared" si="57"/>
        <v/>
      </c>
      <c r="R134" s="313"/>
      <c r="S134" s="314"/>
      <c r="T134" s="215" t="str">
        <f t="shared" si="58"/>
        <v/>
      </c>
      <c r="U134" s="216" t="str">
        <f t="shared" si="59"/>
        <v/>
      </c>
      <c r="V134" s="216" t="str">
        <f t="shared" si="60"/>
        <v/>
      </c>
      <c r="W134" s="216" t="str">
        <f t="shared" si="61"/>
        <v/>
      </c>
      <c r="X134" s="216" t="str">
        <f t="shared" si="62"/>
        <v/>
      </c>
      <c r="Y134" s="216" t="str">
        <f t="shared" si="63"/>
        <v/>
      </c>
      <c r="Z134" s="216" t="str">
        <f t="shared" si="64"/>
        <v/>
      </c>
      <c r="AA134" s="216" t="str">
        <f t="shared" si="65"/>
        <v/>
      </c>
      <c r="AB134" s="217" t="str">
        <f t="shared" si="66"/>
        <v/>
      </c>
      <c r="AC134" s="218" t="str">
        <f t="shared" si="67"/>
        <v/>
      </c>
      <c r="AD134" s="317"/>
    </row>
    <row r="135" spans="2:30" x14ac:dyDescent="0.35">
      <c r="B135" s="96">
        <v>101</v>
      </c>
      <c r="C135" s="304"/>
      <c r="D135" s="302"/>
      <c r="E135" s="302"/>
      <c r="F135" s="644"/>
      <c r="G135" s="645"/>
      <c r="H135" s="408" t="str">
        <f t="shared" si="51"/>
        <v/>
      </c>
      <c r="I135" s="408" t="str">
        <f t="shared" si="52"/>
        <v/>
      </c>
      <c r="J135" s="311"/>
      <c r="K135" s="409" t="str">
        <f t="shared" si="53"/>
        <v/>
      </c>
      <c r="L135" s="406" t="str">
        <f t="shared" si="54"/>
        <v/>
      </c>
      <c r="M135" s="407" t="str">
        <f t="shared" si="55"/>
        <v/>
      </c>
      <c r="N135" s="312"/>
      <c r="O135" s="302"/>
      <c r="P135" s="411" t="str">
        <f t="shared" si="56"/>
        <v/>
      </c>
      <c r="Q135" s="411" t="str">
        <f t="shared" si="57"/>
        <v/>
      </c>
      <c r="R135" s="313"/>
      <c r="S135" s="314"/>
      <c r="T135" s="215" t="str">
        <f t="shared" si="58"/>
        <v/>
      </c>
      <c r="U135" s="216" t="str">
        <f t="shared" si="59"/>
        <v/>
      </c>
      <c r="V135" s="216" t="str">
        <f t="shared" si="60"/>
        <v/>
      </c>
      <c r="W135" s="216" t="str">
        <f t="shared" si="61"/>
        <v/>
      </c>
      <c r="X135" s="216" t="str">
        <f t="shared" si="62"/>
        <v/>
      </c>
      <c r="Y135" s="216" t="str">
        <f t="shared" si="63"/>
        <v/>
      </c>
      <c r="Z135" s="216" t="str">
        <f t="shared" si="64"/>
        <v/>
      </c>
      <c r="AA135" s="216" t="str">
        <f t="shared" si="65"/>
        <v/>
      </c>
      <c r="AB135" s="217" t="str">
        <f t="shared" si="66"/>
        <v/>
      </c>
      <c r="AC135" s="218" t="str">
        <f t="shared" si="67"/>
        <v/>
      </c>
      <c r="AD135" s="317"/>
    </row>
    <row r="136" spans="2:30" x14ac:dyDescent="0.35">
      <c r="B136" s="96">
        <v>102</v>
      </c>
      <c r="C136" s="304"/>
      <c r="D136" s="302"/>
      <c r="E136" s="302"/>
      <c r="F136" s="644"/>
      <c r="G136" s="645"/>
      <c r="H136" s="408" t="str">
        <f t="shared" si="51"/>
        <v/>
      </c>
      <c r="I136" s="408" t="str">
        <f t="shared" si="52"/>
        <v/>
      </c>
      <c r="J136" s="311"/>
      <c r="K136" s="409" t="str">
        <f t="shared" si="53"/>
        <v/>
      </c>
      <c r="L136" s="406" t="str">
        <f t="shared" si="54"/>
        <v/>
      </c>
      <c r="M136" s="407" t="str">
        <f t="shared" si="55"/>
        <v/>
      </c>
      <c r="N136" s="312"/>
      <c r="O136" s="302"/>
      <c r="P136" s="411" t="str">
        <f t="shared" si="56"/>
        <v/>
      </c>
      <c r="Q136" s="411" t="str">
        <f t="shared" si="57"/>
        <v/>
      </c>
      <c r="R136" s="313"/>
      <c r="S136" s="314"/>
      <c r="T136" s="215" t="str">
        <f t="shared" si="58"/>
        <v/>
      </c>
      <c r="U136" s="216" t="str">
        <f t="shared" si="59"/>
        <v/>
      </c>
      <c r="V136" s="216" t="str">
        <f t="shared" si="60"/>
        <v/>
      </c>
      <c r="W136" s="216" t="str">
        <f t="shared" si="61"/>
        <v/>
      </c>
      <c r="X136" s="216" t="str">
        <f t="shared" si="62"/>
        <v/>
      </c>
      <c r="Y136" s="216" t="str">
        <f t="shared" si="63"/>
        <v/>
      </c>
      <c r="Z136" s="216" t="str">
        <f t="shared" si="64"/>
        <v/>
      </c>
      <c r="AA136" s="216" t="str">
        <f t="shared" si="65"/>
        <v/>
      </c>
      <c r="AB136" s="217" t="str">
        <f t="shared" si="66"/>
        <v/>
      </c>
      <c r="AC136" s="218" t="str">
        <f t="shared" si="67"/>
        <v/>
      </c>
      <c r="AD136" s="317"/>
    </row>
    <row r="137" spans="2:30" x14ac:dyDescent="0.35">
      <c r="B137" s="96">
        <v>103</v>
      </c>
      <c r="C137" s="304"/>
      <c r="D137" s="302"/>
      <c r="E137" s="302"/>
      <c r="F137" s="644"/>
      <c r="G137" s="645"/>
      <c r="H137" s="408" t="str">
        <f t="shared" si="51"/>
        <v/>
      </c>
      <c r="I137" s="408" t="str">
        <f t="shared" si="52"/>
        <v/>
      </c>
      <c r="J137" s="311"/>
      <c r="K137" s="409" t="str">
        <f t="shared" si="53"/>
        <v/>
      </c>
      <c r="L137" s="406" t="str">
        <f t="shared" si="54"/>
        <v/>
      </c>
      <c r="M137" s="407" t="str">
        <f t="shared" si="55"/>
        <v/>
      </c>
      <c r="N137" s="312"/>
      <c r="O137" s="302"/>
      <c r="P137" s="411" t="str">
        <f t="shared" si="56"/>
        <v/>
      </c>
      <c r="Q137" s="411" t="str">
        <f t="shared" si="57"/>
        <v/>
      </c>
      <c r="R137" s="313"/>
      <c r="S137" s="314"/>
      <c r="T137" s="215" t="str">
        <f t="shared" si="58"/>
        <v/>
      </c>
      <c r="U137" s="216" t="str">
        <f t="shared" si="59"/>
        <v/>
      </c>
      <c r="V137" s="216" t="str">
        <f t="shared" si="60"/>
        <v/>
      </c>
      <c r="W137" s="216" t="str">
        <f t="shared" si="61"/>
        <v/>
      </c>
      <c r="X137" s="216" t="str">
        <f t="shared" si="62"/>
        <v/>
      </c>
      <c r="Y137" s="216" t="str">
        <f t="shared" si="63"/>
        <v/>
      </c>
      <c r="Z137" s="216" t="str">
        <f t="shared" si="64"/>
        <v/>
      </c>
      <c r="AA137" s="216" t="str">
        <f t="shared" si="65"/>
        <v/>
      </c>
      <c r="AB137" s="217" t="str">
        <f t="shared" si="66"/>
        <v/>
      </c>
      <c r="AC137" s="218" t="str">
        <f t="shared" si="67"/>
        <v/>
      </c>
      <c r="AD137" s="317"/>
    </row>
    <row r="138" spans="2:30" x14ac:dyDescent="0.35">
      <c r="B138" s="96">
        <v>104</v>
      </c>
      <c r="C138" s="304"/>
      <c r="D138" s="302"/>
      <c r="E138" s="302"/>
      <c r="F138" s="644"/>
      <c r="G138" s="645"/>
      <c r="H138" s="408" t="str">
        <f t="shared" si="51"/>
        <v/>
      </c>
      <c r="I138" s="408" t="str">
        <f t="shared" si="52"/>
        <v/>
      </c>
      <c r="J138" s="311"/>
      <c r="K138" s="409" t="str">
        <f t="shared" si="53"/>
        <v/>
      </c>
      <c r="L138" s="406" t="str">
        <f t="shared" si="54"/>
        <v/>
      </c>
      <c r="M138" s="407" t="str">
        <f t="shared" si="55"/>
        <v/>
      </c>
      <c r="N138" s="312"/>
      <c r="O138" s="302"/>
      <c r="P138" s="411" t="str">
        <f t="shared" si="56"/>
        <v/>
      </c>
      <c r="Q138" s="411" t="str">
        <f t="shared" si="57"/>
        <v/>
      </c>
      <c r="R138" s="313"/>
      <c r="S138" s="314"/>
      <c r="T138" s="215" t="str">
        <f t="shared" si="58"/>
        <v/>
      </c>
      <c r="U138" s="216" t="str">
        <f t="shared" si="59"/>
        <v/>
      </c>
      <c r="V138" s="216" t="str">
        <f t="shared" si="60"/>
        <v/>
      </c>
      <c r="W138" s="216" t="str">
        <f t="shared" si="61"/>
        <v/>
      </c>
      <c r="X138" s="216" t="str">
        <f t="shared" si="62"/>
        <v/>
      </c>
      <c r="Y138" s="216" t="str">
        <f t="shared" si="63"/>
        <v/>
      </c>
      <c r="Z138" s="216" t="str">
        <f t="shared" si="64"/>
        <v/>
      </c>
      <c r="AA138" s="216" t="str">
        <f t="shared" si="65"/>
        <v/>
      </c>
      <c r="AB138" s="217" t="str">
        <f t="shared" si="66"/>
        <v/>
      </c>
      <c r="AC138" s="218" t="str">
        <f t="shared" si="67"/>
        <v/>
      </c>
      <c r="AD138" s="317"/>
    </row>
    <row r="139" spans="2:30" x14ac:dyDescent="0.35">
      <c r="B139" s="96">
        <v>105</v>
      </c>
      <c r="C139" s="304"/>
      <c r="D139" s="302"/>
      <c r="E139" s="302"/>
      <c r="F139" s="644"/>
      <c r="G139" s="645"/>
      <c r="H139" s="408" t="str">
        <f t="shared" si="51"/>
        <v/>
      </c>
      <c r="I139" s="408" t="str">
        <f t="shared" si="52"/>
        <v/>
      </c>
      <c r="J139" s="311"/>
      <c r="K139" s="409" t="str">
        <f t="shared" si="53"/>
        <v/>
      </c>
      <c r="L139" s="406" t="str">
        <f t="shared" si="54"/>
        <v/>
      </c>
      <c r="M139" s="407" t="str">
        <f t="shared" si="55"/>
        <v/>
      </c>
      <c r="N139" s="312"/>
      <c r="O139" s="302"/>
      <c r="P139" s="411" t="str">
        <f t="shared" si="56"/>
        <v/>
      </c>
      <c r="Q139" s="411" t="str">
        <f t="shared" si="57"/>
        <v/>
      </c>
      <c r="R139" s="313"/>
      <c r="S139" s="314"/>
      <c r="T139" s="215" t="str">
        <f t="shared" si="58"/>
        <v/>
      </c>
      <c r="U139" s="216" t="str">
        <f t="shared" si="59"/>
        <v/>
      </c>
      <c r="V139" s="216" t="str">
        <f t="shared" si="60"/>
        <v/>
      </c>
      <c r="W139" s="216" t="str">
        <f t="shared" si="61"/>
        <v/>
      </c>
      <c r="X139" s="216" t="str">
        <f t="shared" si="62"/>
        <v/>
      </c>
      <c r="Y139" s="216" t="str">
        <f t="shared" si="63"/>
        <v/>
      </c>
      <c r="Z139" s="216" t="str">
        <f t="shared" si="64"/>
        <v/>
      </c>
      <c r="AA139" s="216" t="str">
        <f t="shared" si="65"/>
        <v/>
      </c>
      <c r="AB139" s="217" t="str">
        <f t="shared" si="66"/>
        <v/>
      </c>
      <c r="AC139" s="218" t="str">
        <f t="shared" si="67"/>
        <v/>
      </c>
      <c r="AD139" s="317"/>
    </row>
    <row r="140" spans="2:30" x14ac:dyDescent="0.35">
      <c r="B140" s="96">
        <v>106</v>
      </c>
      <c r="C140" s="304"/>
      <c r="D140" s="302"/>
      <c r="E140" s="302"/>
      <c r="F140" s="644"/>
      <c r="G140" s="645"/>
      <c r="H140" s="408" t="str">
        <f t="shared" si="51"/>
        <v/>
      </c>
      <c r="I140" s="408" t="str">
        <f t="shared" si="52"/>
        <v/>
      </c>
      <c r="J140" s="311"/>
      <c r="K140" s="409" t="str">
        <f t="shared" si="53"/>
        <v/>
      </c>
      <c r="L140" s="406" t="str">
        <f t="shared" si="54"/>
        <v/>
      </c>
      <c r="M140" s="407" t="str">
        <f t="shared" si="55"/>
        <v/>
      </c>
      <c r="N140" s="312"/>
      <c r="O140" s="302"/>
      <c r="P140" s="411" t="str">
        <f t="shared" si="56"/>
        <v/>
      </c>
      <c r="Q140" s="411" t="str">
        <f t="shared" si="57"/>
        <v/>
      </c>
      <c r="R140" s="313"/>
      <c r="S140" s="314"/>
      <c r="T140" s="215" t="str">
        <f t="shared" si="58"/>
        <v/>
      </c>
      <c r="U140" s="216" t="str">
        <f t="shared" si="59"/>
        <v/>
      </c>
      <c r="V140" s="216" t="str">
        <f t="shared" si="60"/>
        <v/>
      </c>
      <c r="W140" s="216" t="str">
        <f t="shared" si="61"/>
        <v/>
      </c>
      <c r="X140" s="216" t="str">
        <f t="shared" si="62"/>
        <v/>
      </c>
      <c r="Y140" s="216" t="str">
        <f t="shared" si="63"/>
        <v/>
      </c>
      <c r="Z140" s="216" t="str">
        <f t="shared" si="64"/>
        <v/>
      </c>
      <c r="AA140" s="216" t="str">
        <f t="shared" si="65"/>
        <v/>
      </c>
      <c r="AB140" s="217" t="str">
        <f t="shared" si="66"/>
        <v/>
      </c>
      <c r="AC140" s="218" t="str">
        <f t="shared" si="67"/>
        <v/>
      </c>
      <c r="AD140" s="317"/>
    </row>
    <row r="141" spans="2:30" x14ac:dyDescent="0.35">
      <c r="B141" s="96">
        <v>107</v>
      </c>
      <c r="C141" s="304"/>
      <c r="D141" s="302"/>
      <c r="E141" s="302"/>
      <c r="F141" s="644"/>
      <c r="G141" s="645"/>
      <c r="H141" s="408" t="str">
        <f t="shared" si="51"/>
        <v/>
      </c>
      <c r="I141" s="408" t="str">
        <f t="shared" si="52"/>
        <v/>
      </c>
      <c r="J141" s="311"/>
      <c r="K141" s="409" t="str">
        <f t="shared" si="53"/>
        <v/>
      </c>
      <c r="L141" s="406" t="str">
        <f t="shared" si="54"/>
        <v/>
      </c>
      <c r="M141" s="407" t="str">
        <f t="shared" si="55"/>
        <v/>
      </c>
      <c r="N141" s="312"/>
      <c r="O141" s="302"/>
      <c r="P141" s="411" t="str">
        <f t="shared" si="56"/>
        <v/>
      </c>
      <c r="Q141" s="411" t="str">
        <f t="shared" si="57"/>
        <v/>
      </c>
      <c r="R141" s="313"/>
      <c r="S141" s="314"/>
      <c r="T141" s="215" t="str">
        <f t="shared" si="58"/>
        <v/>
      </c>
      <c r="U141" s="216" t="str">
        <f t="shared" si="59"/>
        <v/>
      </c>
      <c r="V141" s="216" t="str">
        <f t="shared" si="60"/>
        <v/>
      </c>
      <c r="W141" s="216" t="str">
        <f t="shared" si="61"/>
        <v/>
      </c>
      <c r="X141" s="216" t="str">
        <f t="shared" si="62"/>
        <v/>
      </c>
      <c r="Y141" s="216" t="str">
        <f t="shared" si="63"/>
        <v/>
      </c>
      <c r="Z141" s="216" t="str">
        <f t="shared" si="64"/>
        <v/>
      </c>
      <c r="AA141" s="216" t="str">
        <f t="shared" si="65"/>
        <v/>
      </c>
      <c r="AB141" s="217" t="str">
        <f t="shared" si="66"/>
        <v/>
      </c>
      <c r="AC141" s="218" t="str">
        <f t="shared" si="67"/>
        <v/>
      </c>
      <c r="AD141" s="317"/>
    </row>
    <row r="142" spans="2:30" x14ac:dyDescent="0.35">
      <c r="B142" s="96">
        <v>108</v>
      </c>
      <c r="C142" s="304"/>
      <c r="D142" s="302"/>
      <c r="E142" s="302"/>
      <c r="F142" s="644"/>
      <c r="G142" s="645"/>
      <c r="H142" s="408" t="str">
        <f t="shared" si="51"/>
        <v/>
      </c>
      <c r="I142" s="408" t="str">
        <f t="shared" si="52"/>
        <v/>
      </c>
      <c r="J142" s="311"/>
      <c r="K142" s="409" t="str">
        <f t="shared" si="53"/>
        <v/>
      </c>
      <c r="L142" s="406" t="str">
        <f t="shared" si="54"/>
        <v/>
      </c>
      <c r="M142" s="407" t="str">
        <f t="shared" si="55"/>
        <v/>
      </c>
      <c r="N142" s="312"/>
      <c r="O142" s="302"/>
      <c r="P142" s="411" t="str">
        <f t="shared" si="56"/>
        <v/>
      </c>
      <c r="Q142" s="411" t="str">
        <f t="shared" si="57"/>
        <v/>
      </c>
      <c r="R142" s="313"/>
      <c r="S142" s="314"/>
      <c r="T142" s="215" t="str">
        <f t="shared" si="58"/>
        <v/>
      </c>
      <c r="U142" s="216" t="str">
        <f t="shared" si="59"/>
        <v/>
      </c>
      <c r="V142" s="216" t="str">
        <f t="shared" si="60"/>
        <v/>
      </c>
      <c r="W142" s="216" t="str">
        <f t="shared" si="61"/>
        <v/>
      </c>
      <c r="X142" s="216" t="str">
        <f t="shared" si="62"/>
        <v/>
      </c>
      <c r="Y142" s="216" t="str">
        <f t="shared" si="63"/>
        <v/>
      </c>
      <c r="Z142" s="216" t="str">
        <f t="shared" si="64"/>
        <v/>
      </c>
      <c r="AA142" s="216" t="str">
        <f t="shared" si="65"/>
        <v/>
      </c>
      <c r="AB142" s="217" t="str">
        <f t="shared" si="66"/>
        <v/>
      </c>
      <c r="AC142" s="218" t="str">
        <f t="shared" si="67"/>
        <v/>
      </c>
      <c r="AD142" s="317"/>
    </row>
    <row r="143" spans="2:30" x14ac:dyDescent="0.35">
      <c r="B143" s="96">
        <v>109</v>
      </c>
      <c r="C143" s="304"/>
      <c r="D143" s="302"/>
      <c r="E143" s="302"/>
      <c r="F143" s="644"/>
      <c r="G143" s="645"/>
      <c r="H143" s="408" t="str">
        <f t="shared" si="51"/>
        <v/>
      </c>
      <c r="I143" s="408" t="str">
        <f t="shared" si="52"/>
        <v/>
      </c>
      <c r="J143" s="311"/>
      <c r="K143" s="409" t="str">
        <f t="shared" si="53"/>
        <v/>
      </c>
      <c r="L143" s="406" t="str">
        <f t="shared" si="54"/>
        <v/>
      </c>
      <c r="M143" s="407" t="str">
        <f t="shared" si="55"/>
        <v/>
      </c>
      <c r="N143" s="312"/>
      <c r="O143" s="302"/>
      <c r="P143" s="411" t="str">
        <f t="shared" si="56"/>
        <v/>
      </c>
      <c r="Q143" s="411" t="str">
        <f t="shared" si="57"/>
        <v/>
      </c>
      <c r="R143" s="313"/>
      <c r="S143" s="314"/>
      <c r="T143" s="215" t="str">
        <f t="shared" si="58"/>
        <v/>
      </c>
      <c r="U143" s="216" t="str">
        <f t="shared" si="59"/>
        <v/>
      </c>
      <c r="V143" s="216" t="str">
        <f t="shared" si="60"/>
        <v/>
      </c>
      <c r="W143" s="216" t="str">
        <f t="shared" si="61"/>
        <v/>
      </c>
      <c r="X143" s="216" t="str">
        <f t="shared" si="62"/>
        <v/>
      </c>
      <c r="Y143" s="216" t="str">
        <f t="shared" si="63"/>
        <v/>
      </c>
      <c r="Z143" s="216" t="str">
        <f t="shared" si="64"/>
        <v/>
      </c>
      <c r="AA143" s="216" t="str">
        <f t="shared" si="65"/>
        <v/>
      </c>
      <c r="AB143" s="217" t="str">
        <f t="shared" si="66"/>
        <v/>
      </c>
      <c r="AC143" s="218" t="str">
        <f t="shared" si="67"/>
        <v/>
      </c>
      <c r="AD143" s="317"/>
    </row>
    <row r="144" spans="2:30" x14ac:dyDescent="0.35">
      <c r="B144" s="96">
        <v>110</v>
      </c>
      <c r="C144" s="304"/>
      <c r="D144" s="302"/>
      <c r="E144" s="302"/>
      <c r="F144" s="644"/>
      <c r="G144" s="645"/>
      <c r="H144" s="408" t="str">
        <f t="shared" si="51"/>
        <v/>
      </c>
      <c r="I144" s="408" t="str">
        <f t="shared" si="52"/>
        <v/>
      </c>
      <c r="J144" s="311"/>
      <c r="K144" s="409" t="str">
        <f t="shared" si="53"/>
        <v/>
      </c>
      <c r="L144" s="406" t="str">
        <f t="shared" si="54"/>
        <v/>
      </c>
      <c r="M144" s="407" t="str">
        <f t="shared" si="55"/>
        <v/>
      </c>
      <c r="N144" s="312"/>
      <c r="O144" s="302"/>
      <c r="P144" s="411" t="str">
        <f t="shared" si="56"/>
        <v/>
      </c>
      <c r="Q144" s="411" t="str">
        <f t="shared" si="57"/>
        <v/>
      </c>
      <c r="R144" s="313"/>
      <c r="S144" s="314"/>
      <c r="T144" s="215" t="str">
        <f t="shared" si="58"/>
        <v/>
      </c>
      <c r="U144" s="216" t="str">
        <f t="shared" si="59"/>
        <v/>
      </c>
      <c r="V144" s="216" t="str">
        <f t="shared" si="60"/>
        <v/>
      </c>
      <c r="W144" s="216" t="str">
        <f t="shared" si="61"/>
        <v/>
      </c>
      <c r="X144" s="216" t="str">
        <f t="shared" si="62"/>
        <v/>
      </c>
      <c r="Y144" s="216" t="str">
        <f t="shared" si="63"/>
        <v/>
      </c>
      <c r="Z144" s="216" t="str">
        <f t="shared" si="64"/>
        <v/>
      </c>
      <c r="AA144" s="216" t="str">
        <f t="shared" si="65"/>
        <v/>
      </c>
      <c r="AB144" s="217" t="str">
        <f t="shared" si="66"/>
        <v/>
      </c>
      <c r="AC144" s="218" t="str">
        <f t="shared" si="67"/>
        <v/>
      </c>
      <c r="AD144" s="317"/>
    </row>
    <row r="145" spans="2:30" x14ac:dyDescent="0.35">
      <c r="B145" s="96">
        <v>111</v>
      </c>
      <c r="C145" s="304"/>
      <c r="D145" s="302"/>
      <c r="E145" s="302"/>
      <c r="F145" s="644"/>
      <c r="G145" s="645"/>
      <c r="H145" s="408" t="str">
        <f t="shared" si="51"/>
        <v/>
      </c>
      <c r="I145" s="408" t="str">
        <f t="shared" si="52"/>
        <v/>
      </c>
      <c r="J145" s="311"/>
      <c r="K145" s="409" t="str">
        <f t="shared" si="53"/>
        <v/>
      </c>
      <c r="L145" s="406" t="str">
        <f t="shared" si="54"/>
        <v/>
      </c>
      <c r="M145" s="407" t="str">
        <f t="shared" si="55"/>
        <v/>
      </c>
      <c r="N145" s="312"/>
      <c r="O145" s="302"/>
      <c r="P145" s="411" t="str">
        <f t="shared" si="56"/>
        <v/>
      </c>
      <c r="Q145" s="411" t="str">
        <f t="shared" si="57"/>
        <v/>
      </c>
      <c r="R145" s="313"/>
      <c r="S145" s="314"/>
      <c r="T145" s="215" t="str">
        <f t="shared" si="58"/>
        <v/>
      </c>
      <c r="U145" s="216" t="str">
        <f t="shared" si="59"/>
        <v/>
      </c>
      <c r="V145" s="216" t="str">
        <f t="shared" si="60"/>
        <v/>
      </c>
      <c r="W145" s="216" t="str">
        <f t="shared" si="61"/>
        <v/>
      </c>
      <c r="X145" s="216" t="str">
        <f t="shared" si="62"/>
        <v/>
      </c>
      <c r="Y145" s="216" t="str">
        <f t="shared" si="63"/>
        <v/>
      </c>
      <c r="Z145" s="216" t="str">
        <f t="shared" si="64"/>
        <v/>
      </c>
      <c r="AA145" s="216" t="str">
        <f t="shared" si="65"/>
        <v/>
      </c>
      <c r="AB145" s="217" t="str">
        <f t="shared" si="66"/>
        <v/>
      </c>
      <c r="AC145" s="218" t="str">
        <f t="shared" si="67"/>
        <v/>
      </c>
      <c r="AD145" s="317"/>
    </row>
    <row r="146" spans="2:30" x14ac:dyDescent="0.35">
      <c r="B146" s="96">
        <v>112</v>
      </c>
      <c r="C146" s="304"/>
      <c r="D146" s="302"/>
      <c r="E146" s="302"/>
      <c r="F146" s="644"/>
      <c r="G146" s="645"/>
      <c r="H146" s="408" t="str">
        <f t="shared" si="51"/>
        <v/>
      </c>
      <c r="I146" s="408" t="str">
        <f t="shared" si="52"/>
        <v/>
      </c>
      <c r="J146" s="311"/>
      <c r="K146" s="409" t="str">
        <f t="shared" si="53"/>
        <v/>
      </c>
      <c r="L146" s="406" t="str">
        <f t="shared" si="54"/>
        <v/>
      </c>
      <c r="M146" s="407" t="str">
        <f t="shared" si="55"/>
        <v/>
      </c>
      <c r="N146" s="312"/>
      <c r="O146" s="302"/>
      <c r="P146" s="411" t="str">
        <f t="shared" si="56"/>
        <v/>
      </c>
      <c r="Q146" s="411" t="str">
        <f t="shared" si="57"/>
        <v/>
      </c>
      <c r="R146" s="313"/>
      <c r="S146" s="314"/>
      <c r="T146" s="215" t="str">
        <f t="shared" si="58"/>
        <v/>
      </c>
      <c r="U146" s="216" t="str">
        <f t="shared" si="59"/>
        <v/>
      </c>
      <c r="V146" s="216" t="str">
        <f t="shared" si="60"/>
        <v/>
      </c>
      <c r="W146" s="216" t="str">
        <f t="shared" si="61"/>
        <v/>
      </c>
      <c r="X146" s="216" t="str">
        <f t="shared" si="62"/>
        <v/>
      </c>
      <c r="Y146" s="216" t="str">
        <f t="shared" si="63"/>
        <v/>
      </c>
      <c r="Z146" s="216" t="str">
        <f t="shared" si="64"/>
        <v/>
      </c>
      <c r="AA146" s="216" t="str">
        <f t="shared" si="65"/>
        <v/>
      </c>
      <c r="AB146" s="217" t="str">
        <f t="shared" si="66"/>
        <v/>
      </c>
      <c r="AC146" s="218" t="str">
        <f t="shared" si="67"/>
        <v/>
      </c>
      <c r="AD146" s="317"/>
    </row>
    <row r="147" spans="2:30" x14ac:dyDescent="0.35">
      <c r="B147" s="96">
        <v>113</v>
      </c>
      <c r="C147" s="304"/>
      <c r="D147" s="302"/>
      <c r="E147" s="302"/>
      <c r="F147" s="644"/>
      <c r="G147" s="645"/>
      <c r="H147" s="408" t="str">
        <f t="shared" si="51"/>
        <v/>
      </c>
      <c r="I147" s="408" t="str">
        <f t="shared" si="52"/>
        <v/>
      </c>
      <c r="J147" s="311"/>
      <c r="K147" s="409" t="str">
        <f t="shared" si="53"/>
        <v/>
      </c>
      <c r="L147" s="406" t="str">
        <f t="shared" si="54"/>
        <v/>
      </c>
      <c r="M147" s="407" t="str">
        <f t="shared" si="55"/>
        <v/>
      </c>
      <c r="N147" s="312"/>
      <c r="O147" s="302"/>
      <c r="P147" s="411" t="str">
        <f t="shared" si="56"/>
        <v/>
      </c>
      <c r="Q147" s="411" t="str">
        <f t="shared" si="57"/>
        <v/>
      </c>
      <c r="R147" s="313"/>
      <c r="S147" s="314"/>
      <c r="T147" s="215" t="str">
        <f t="shared" si="58"/>
        <v/>
      </c>
      <c r="U147" s="216" t="str">
        <f t="shared" si="59"/>
        <v/>
      </c>
      <c r="V147" s="216" t="str">
        <f t="shared" si="60"/>
        <v/>
      </c>
      <c r="W147" s="216" t="str">
        <f t="shared" si="61"/>
        <v/>
      </c>
      <c r="X147" s="216" t="str">
        <f t="shared" si="62"/>
        <v/>
      </c>
      <c r="Y147" s="216" t="str">
        <f t="shared" si="63"/>
        <v/>
      </c>
      <c r="Z147" s="216" t="str">
        <f t="shared" si="64"/>
        <v/>
      </c>
      <c r="AA147" s="216" t="str">
        <f t="shared" si="65"/>
        <v/>
      </c>
      <c r="AB147" s="217" t="str">
        <f t="shared" si="66"/>
        <v/>
      </c>
      <c r="AC147" s="218" t="str">
        <f t="shared" si="67"/>
        <v/>
      </c>
      <c r="AD147" s="317"/>
    </row>
    <row r="148" spans="2:30" x14ac:dyDescent="0.35">
      <c r="B148" s="96">
        <v>114</v>
      </c>
      <c r="C148" s="304"/>
      <c r="D148" s="302"/>
      <c r="E148" s="302"/>
      <c r="F148" s="644"/>
      <c r="G148" s="645"/>
      <c r="H148" s="408" t="str">
        <f t="shared" si="51"/>
        <v/>
      </c>
      <c r="I148" s="408" t="str">
        <f t="shared" si="52"/>
        <v/>
      </c>
      <c r="J148" s="311"/>
      <c r="K148" s="409" t="str">
        <f t="shared" si="53"/>
        <v/>
      </c>
      <c r="L148" s="406" t="str">
        <f t="shared" si="54"/>
        <v/>
      </c>
      <c r="M148" s="407" t="str">
        <f t="shared" si="55"/>
        <v/>
      </c>
      <c r="N148" s="312"/>
      <c r="O148" s="302"/>
      <c r="P148" s="411" t="str">
        <f t="shared" si="56"/>
        <v/>
      </c>
      <c r="Q148" s="411" t="str">
        <f t="shared" si="57"/>
        <v/>
      </c>
      <c r="R148" s="313"/>
      <c r="S148" s="314"/>
      <c r="T148" s="215" t="str">
        <f t="shared" si="58"/>
        <v/>
      </c>
      <c r="U148" s="216" t="str">
        <f t="shared" si="59"/>
        <v/>
      </c>
      <c r="V148" s="216" t="str">
        <f t="shared" si="60"/>
        <v/>
      </c>
      <c r="W148" s="216" t="str">
        <f t="shared" si="61"/>
        <v/>
      </c>
      <c r="X148" s="216" t="str">
        <f t="shared" si="62"/>
        <v/>
      </c>
      <c r="Y148" s="216" t="str">
        <f t="shared" si="63"/>
        <v/>
      </c>
      <c r="Z148" s="216" t="str">
        <f t="shared" si="64"/>
        <v/>
      </c>
      <c r="AA148" s="216" t="str">
        <f t="shared" si="65"/>
        <v/>
      </c>
      <c r="AB148" s="217" t="str">
        <f t="shared" si="66"/>
        <v/>
      </c>
      <c r="AC148" s="218" t="str">
        <f t="shared" si="67"/>
        <v/>
      </c>
      <c r="AD148" s="317"/>
    </row>
    <row r="149" spans="2:30" x14ac:dyDescent="0.35">
      <c r="B149" s="96">
        <v>115</v>
      </c>
      <c r="C149" s="304"/>
      <c r="D149" s="302"/>
      <c r="E149" s="302"/>
      <c r="F149" s="644"/>
      <c r="G149" s="645"/>
      <c r="H149" s="408" t="str">
        <f t="shared" si="51"/>
        <v/>
      </c>
      <c r="I149" s="408" t="str">
        <f t="shared" si="52"/>
        <v/>
      </c>
      <c r="J149" s="311"/>
      <c r="K149" s="409" t="str">
        <f t="shared" si="53"/>
        <v/>
      </c>
      <c r="L149" s="406" t="str">
        <f t="shared" si="54"/>
        <v/>
      </c>
      <c r="M149" s="407" t="str">
        <f t="shared" si="55"/>
        <v/>
      </c>
      <c r="N149" s="312"/>
      <c r="O149" s="302"/>
      <c r="P149" s="411" t="str">
        <f t="shared" si="56"/>
        <v/>
      </c>
      <c r="Q149" s="411" t="str">
        <f t="shared" si="57"/>
        <v/>
      </c>
      <c r="R149" s="313"/>
      <c r="S149" s="314"/>
      <c r="T149" s="215" t="str">
        <f t="shared" si="58"/>
        <v/>
      </c>
      <c r="U149" s="216" t="str">
        <f t="shared" si="59"/>
        <v/>
      </c>
      <c r="V149" s="216" t="str">
        <f t="shared" si="60"/>
        <v/>
      </c>
      <c r="W149" s="216" t="str">
        <f t="shared" si="61"/>
        <v/>
      </c>
      <c r="X149" s="216" t="str">
        <f t="shared" si="62"/>
        <v/>
      </c>
      <c r="Y149" s="216" t="str">
        <f t="shared" si="63"/>
        <v/>
      </c>
      <c r="Z149" s="216" t="str">
        <f t="shared" si="64"/>
        <v/>
      </c>
      <c r="AA149" s="216" t="str">
        <f t="shared" si="65"/>
        <v/>
      </c>
      <c r="AB149" s="217" t="str">
        <f t="shared" si="66"/>
        <v/>
      </c>
      <c r="AC149" s="218" t="str">
        <f t="shared" si="67"/>
        <v/>
      </c>
      <c r="AD149" s="317"/>
    </row>
    <row r="150" spans="2:30" x14ac:dyDescent="0.35">
      <c r="B150" s="96">
        <v>116</v>
      </c>
      <c r="C150" s="304"/>
      <c r="D150" s="302"/>
      <c r="E150" s="302"/>
      <c r="F150" s="644"/>
      <c r="G150" s="645"/>
      <c r="H150" s="408" t="str">
        <f t="shared" si="51"/>
        <v/>
      </c>
      <c r="I150" s="408" t="str">
        <f t="shared" si="52"/>
        <v/>
      </c>
      <c r="J150" s="311"/>
      <c r="K150" s="409" t="str">
        <f t="shared" si="53"/>
        <v/>
      </c>
      <c r="L150" s="406" t="str">
        <f t="shared" si="54"/>
        <v/>
      </c>
      <c r="M150" s="407" t="str">
        <f t="shared" si="55"/>
        <v/>
      </c>
      <c r="N150" s="312"/>
      <c r="O150" s="302"/>
      <c r="P150" s="411" t="str">
        <f t="shared" si="56"/>
        <v/>
      </c>
      <c r="Q150" s="411" t="str">
        <f t="shared" si="57"/>
        <v/>
      </c>
      <c r="R150" s="313"/>
      <c r="S150" s="314"/>
      <c r="T150" s="215" t="str">
        <f t="shared" si="58"/>
        <v/>
      </c>
      <c r="U150" s="216" t="str">
        <f t="shared" si="59"/>
        <v/>
      </c>
      <c r="V150" s="216" t="str">
        <f t="shared" si="60"/>
        <v/>
      </c>
      <c r="W150" s="216" t="str">
        <f t="shared" si="61"/>
        <v/>
      </c>
      <c r="X150" s="216" t="str">
        <f t="shared" si="62"/>
        <v/>
      </c>
      <c r="Y150" s="216" t="str">
        <f t="shared" si="63"/>
        <v/>
      </c>
      <c r="Z150" s="216" t="str">
        <f t="shared" si="64"/>
        <v/>
      </c>
      <c r="AA150" s="216" t="str">
        <f t="shared" si="65"/>
        <v/>
      </c>
      <c r="AB150" s="217" t="str">
        <f t="shared" si="66"/>
        <v/>
      </c>
      <c r="AC150" s="218" t="str">
        <f t="shared" si="67"/>
        <v/>
      </c>
      <c r="AD150" s="317"/>
    </row>
    <row r="151" spans="2:30" x14ac:dyDescent="0.35">
      <c r="B151" s="96">
        <v>117</v>
      </c>
      <c r="C151" s="304"/>
      <c r="D151" s="302"/>
      <c r="E151" s="302"/>
      <c r="F151" s="644"/>
      <c r="G151" s="645"/>
      <c r="H151" s="408" t="str">
        <f t="shared" si="51"/>
        <v/>
      </c>
      <c r="I151" s="408" t="str">
        <f t="shared" si="52"/>
        <v/>
      </c>
      <c r="J151" s="311"/>
      <c r="K151" s="409" t="str">
        <f t="shared" si="53"/>
        <v/>
      </c>
      <c r="L151" s="406" t="str">
        <f t="shared" si="54"/>
        <v/>
      </c>
      <c r="M151" s="407" t="str">
        <f t="shared" si="55"/>
        <v/>
      </c>
      <c r="N151" s="312"/>
      <c r="O151" s="302"/>
      <c r="P151" s="411" t="str">
        <f t="shared" si="56"/>
        <v/>
      </c>
      <c r="Q151" s="411" t="str">
        <f t="shared" si="57"/>
        <v/>
      </c>
      <c r="R151" s="313"/>
      <c r="S151" s="314"/>
      <c r="T151" s="215" t="str">
        <f t="shared" si="58"/>
        <v/>
      </c>
      <c r="U151" s="216" t="str">
        <f t="shared" si="59"/>
        <v/>
      </c>
      <c r="V151" s="216" t="str">
        <f t="shared" si="60"/>
        <v/>
      </c>
      <c r="W151" s="216" t="str">
        <f t="shared" si="61"/>
        <v/>
      </c>
      <c r="X151" s="216" t="str">
        <f t="shared" si="62"/>
        <v/>
      </c>
      <c r="Y151" s="216" t="str">
        <f t="shared" si="63"/>
        <v/>
      </c>
      <c r="Z151" s="216" t="str">
        <f t="shared" si="64"/>
        <v/>
      </c>
      <c r="AA151" s="216" t="str">
        <f t="shared" si="65"/>
        <v/>
      </c>
      <c r="AB151" s="217" t="str">
        <f t="shared" si="66"/>
        <v/>
      </c>
      <c r="AC151" s="218" t="str">
        <f t="shared" si="67"/>
        <v/>
      </c>
      <c r="AD151" s="317"/>
    </row>
    <row r="152" spans="2:30" x14ac:dyDescent="0.35">
      <c r="B152" s="96">
        <v>118</v>
      </c>
      <c r="C152" s="304"/>
      <c r="D152" s="302"/>
      <c r="E152" s="302"/>
      <c r="F152" s="644"/>
      <c r="G152" s="645"/>
      <c r="H152" s="408" t="str">
        <f t="shared" si="51"/>
        <v/>
      </c>
      <c r="I152" s="408" t="str">
        <f t="shared" si="52"/>
        <v/>
      </c>
      <c r="J152" s="311"/>
      <c r="K152" s="409" t="str">
        <f t="shared" si="53"/>
        <v/>
      </c>
      <c r="L152" s="406" t="str">
        <f t="shared" si="54"/>
        <v/>
      </c>
      <c r="M152" s="407" t="str">
        <f t="shared" si="55"/>
        <v/>
      </c>
      <c r="N152" s="312"/>
      <c r="O152" s="302"/>
      <c r="P152" s="411" t="str">
        <f t="shared" si="56"/>
        <v/>
      </c>
      <c r="Q152" s="411" t="str">
        <f t="shared" si="57"/>
        <v/>
      </c>
      <c r="R152" s="313"/>
      <c r="S152" s="314"/>
      <c r="T152" s="215" t="str">
        <f t="shared" si="58"/>
        <v/>
      </c>
      <c r="U152" s="216" t="str">
        <f t="shared" si="59"/>
        <v/>
      </c>
      <c r="V152" s="216" t="str">
        <f t="shared" si="60"/>
        <v/>
      </c>
      <c r="W152" s="216" t="str">
        <f t="shared" si="61"/>
        <v/>
      </c>
      <c r="X152" s="216" t="str">
        <f t="shared" si="62"/>
        <v/>
      </c>
      <c r="Y152" s="216" t="str">
        <f t="shared" si="63"/>
        <v/>
      </c>
      <c r="Z152" s="216" t="str">
        <f t="shared" si="64"/>
        <v/>
      </c>
      <c r="AA152" s="216" t="str">
        <f t="shared" si="65"/>
        <v/>
      </c>
      <c r="AB152" s="217" t="str">
        <f t="shared" si="66"/>
        <v/>
      </c>
      <c r="AC152" s="218" t="str">
        <f t="shared" si="67"/>
        <v/>
      </c>
      <c r="AD152" s="317"/>
    </row>
    <row r="153" spans="2:30" x14ac:dyDescent="0.35">
      <c r="B153" s="96">
        <v>119</v>
      </c>
      <c r="C153" s="304"/>
      <c r="D153" s="302"/>
      <c r="E153" s="302"/>
      <c r="F153" s="644"/>
      <c r="G153" s="645"/>
      <c r="H153" s="408" t="str">
        <f t="shared" si="51"/>
        <v/>
      </c>
      <c r="I153" s="408" t="str">
        <f t="shared" si="52"/>
        <v/>
      </c>
      <c r="J153" s="311"/>
      <c r="K153" s="409" t="str">
        <f t="shared" si="53"/>
        <v/>
      </c>
      <c r="L153" s="406" t="str">
        <f t="shared" si="54"/>
        <v/>
      </c>
      <c r="M153" s="407" t="str">
        <f t="shared" si="55"/>
        <v/>
      </c>
      <c r="N153" s="312"/>
      <c r="O153" s="302"/>
      <c r="P153" s="411" t="str">
        <f t="shared" si="56"/>
        <v/>
      </c>
      <c r="Q153" s="411" t="str">
        <f t="shared" si="57"/>
        <v/>
      </c>
      <c r="R153" s="313"/>
      <c r="S153" s="314"/>
      <c r="T153" s="215" t="str">
        <f t="shared" si="58"/>
        <v/>
      </c>
      <c r="U153" s="216" t="str">
        <f t="shared" si="59"/>
        <v/>
      </c>
      <c r="V153" s="216" t="str">
        <f t="shared" si="60"/>
        <v/>
      </c>
      <c r="W153" s="216" t="str">
        <f t="shared" si="61"/>
        <v/>
      </c>
      <c r="X153" s="216" t="str">
        <f t="shared" si="62"/>
        <v/>
      </c>
      <c r="Y153" s="216" t="str">
        <f t="shared" si="63"/>
        <v/>
      </c>
      <c r="Z153" s="216" t="str">
        <f t="shared" si="64"/>
        <v/>
      </c>
      <c r="AA153" s="216" t="str">
        <f t="shared" si="65"/>
        <v/>
      </c>
      <c r="AB153" s="217" t="str">
        <f t="shared" si="66"/>
        <v/>
      </c>
      <c r="AC153" s="218" t="str">
        <f t="shared" si="67"/>
        <v/>
      </c>
      <c r="AD153" s="317"/>
    </row>
    <row r="154" spans="2:30" x14ac:dyDescent="0.35">
      <c r="B154" s="96">
        <v>120</v>
      </c>
      <c r="C154" s="304"/>
      <c r="D154" s="302"/>
      <c r="E154" s="302"/>
      <c r="F154" s="644"/>
      <c r="G154" s="645"/>
      <c r="H154" s="408" t="str">
        <f t="shared" si="51"/>
        <v/>
      </c>
      <c r="I154" s="408" t="str">
        <f t="shared" si="52"/>
        <v/>
      </c>
      <c r="J154" s="311"/>
      <c r="K154" s="409" t="str">
        <f t="shared" si="53"/>
        <v/>
      </c>
      <c r="L154" s="406" t="str">
        <f t="shared" si="54"/>
        <v/>
      </c>
      <c r="M154" s="407" t="str">
        <f t="shared" si="55"/>
        <v/>
      </c>
      <c r="N154" s="312"/>
      <c r="O154" s="302"/>
      <c r="P154" s="411" t="str">
        <f t="shared" si="56"/>
        <v/>
      </c>
      <c r="Q154" s="411" t="str">
        <f t="shared" si="57"/>
        <v/>
      </c>
      <c r="R154" s="313"/>
      <c r="S154" s="314"/>
      <c r="T154" s="215" t="str">
        <f t="shared" si="58"/>
        <v/>
      </c>
      <c r="U154" s="216" t="str">
        <f t="shared" si="59"/>
        <v/>
      </c>
      <c r="V154" s="216" t="str">
        <f t="shared" si="60"/>
        <v/>
      </c>
      <c r="W154" s="216" t="str">
        <f t="shared" si="61"/>
        <v/>
      </c>
      <c r="X154" s="216" t="str">
        <f t="shared" si="62"/>
        <v/>
      </c>
      <c r="Y154" s="216" t="str">
        <f t="shared" si="63"/>
        <v/>
      </c>
      <c r="Z154" s="216" t="str">
        <f t="shared" si="64"/>
        <v/>
      </c>
      <c r="AA154" s="216" t="str">
        <f t="shared" si="65"/>
        <v/>
      </c>
      <c r="AB154" s="217" t="str">
        <f t="shared" si="66"/>
        <v/>
      </c>
      <c r="AC154" s="218" t="str">
        <f t="shared" si="67"/>
        <v/>
      </c>
      <c r="AD154" s="317"/>
    </row>
    <row r="155" spans="2:30" x14ac:dyDescent="0.35">
      <c r="B155" s="96">
        <v>121</v>
      </c>
      <c r="C155" s="304"/>
      <c r="D155" s="302"/>
      <c r="E155" s="302"/>
      <c r="F155" s="644"/>
      <c r="G155" s="645"/>
      <c r="H155" s="408" t="str">
        <f t="shared" si="51"/>
        <v/>
      </c>
      <c r="I155" s="408" t="str">
        <f t="shared" si="52"/>
        <v/>
      </c>
      <c r="J155" s="311"/>
      <c r="K155" s="409" t="str">
        <f t="shared" si="53"/>
        <v/>
      </c>
      <c r="L155" s="406" t="str">
        <f t="shared" si="54"/>
        <v/>
      </c>
      <c r="M155" s="407" t="str">
        <f t="shared" si="55"/>
        <v/>
      </c>
      <c r="N155" s="312"/>
      <c r="O155" s="302"/>
      <c r="P155" s="411" t="str">
        <f t="shared" si="56"/>
        <v/>
      </c>
      <c r="Q155" s="411" t="str">
        <f t="shared" si="57"/>
        <v/>
      </c>
      <c r="R155" s="313"/>
      <c r="S155" s="314"/>
      <c r="T155" s="215" t="str">
        <f t="shared" si="58"/>
        <v/>
      </c>
      <c r="U155" s="216" t="str">
        <f t="shared" si="59"/>
        <v/>
      </c>
      <c r="V155" s="216" t="str">
        <f t="shared" si="60"/>
        <v/>
      </c>
      <c r="W155" s="216" t="str">
        <f t="shared" si="61"/>
        <v/>
      </c>
      <c r="X155" s="216" t="str">
        <f t="shared" si="62"/>
        <v/>
      </c>
      <c r="Y155" s="216" t="str">
        <f t="shared" si="63"/>
        <v/>
      </c>
      <c r="Z155" s="216" t="str">
        <f t="shared" si="64"/>
        <v/>
      </c>
      <c r="AA155" s="216" t="str">
        <f t="shared" si="65"/>
        <v/>
      </c>
      <c r="AB155" s="217" t="str">
        <f t="shared" si="66"/>
        <v/>
      </c>
      <c r="AC155" s="218" t="str">
        <f t="shared" si="67"/>
        <v/>
      </c>
      <c r="AD155" s="317"/>
    </row>
    <row r="156" spans="2:30" x14ac:dyDescent="0.35">
      <c r="B156" s="96">
        <v>122</v>
      </c>
      <c r="C156" s="304"/>
      <c r="D156" s="302"/>
      <c r="E156" s="302"/>
      <c r="F156" s="644"/>
      <c r="G156" s="645"/>
      <c r="H156" s="408" t="str">
        <f t="shared" si="51"/>
        <v/>
      </c>
      <c r="I156" s="408" t="str">
        <f t="shared" si="52"/>
        <v/>
      </c>
      <c r="J156" s="311"/>
      <c r="K156" s="409" t="str">
        <f t="shared" si="53"/>
        <v/>
      </c>
      <c r="L156" s="406" t="str">
        <f t="shared" si="54"/>
        <v/>
      </c>
      <c r="M156" s="407" t="str">
        <f t="shared" si="55"/>
        <v/>
      </c>
      <c r="N156" s="312"/>
      <c r="O156" s="302"/>
      <c r="P156" s="411" t="str">
        <f t="shared" si="56"/>
        <v/>
      </c>
      <c r="Q156" s="411" t="str">
        <f t="shared" si="57"/>
        <v/>
      </c>
      <c r="R156" s="313"/>
      <c r="S156" s="314"/>
      <c r="T156" s="215" t="str">
        <f t="shared" si="58"/>
        <v/>
      </c>
      <c r="U156" s="216" t="str">
        <f t="shared" si="59"/>
        <v/>
      </c>
      <c r="V156" s="216" t="str">
        <f t="shared" si="60"/>
        <v/>
      </c>
      <c r="W156" s="216" t="str">
        <f t="shared" si="61"/>
        <v/>
      </c>
      <c r="X156" s="216" t="str">
        <f t="shared" si="62"/>
        <v/>
      </c>
      <c r="Y156" s="216" t="str">
        <f t="shared" si="63"/>
        <v/>
      </c>
      <c r="Z156" s="216" t="str">
        <f t="shared" si="64"/>
        <v/>
      </c>
      <c r="AA156" s="216" t="str">
        <f t="shared" si="65"/>
        <v/>
      </c>
      <c r="AB156" s="217" t="str">
        <f t="shared" si="66"/>
        <v/>
      </c>
      <c r="AC156" s="218" t="str">
        <f t="shared" si="67"/>
        <v/>
      </c>
      <c r="AD156" s="317"/>
    </row>
    <row r="157" spans="2:30" x14ac:dyDescent="0.35">
      <c r="B157" s="96">
        <v>123</v>
      </c>
      <c r="C157" s="304"/>
      <c r="D157" s="302"/>
      <c r="E157" s="302"/>
      <c r="F157" s="644"/>
      <c r="G157" s="645"/>
      <c r="H157" s="408" t="str">
        <f t="shared" si="51"/>
        <v/>
      </c>
      <c r="I157" s="408" t="str">
        <f t="shared" si="52"/>
        <v/>
      </c>
      <c r="J157" s="311"/>
      <c r="K157" s="409" t="str">
        <f t="shared" si="53"/>
        <v/>
      </c>
      <c r="L157" s="406" t="str">
        <f t="shared" si="54"/>
        <v/>
      </c>
      <c r="M157" s="407" t="str">
        <f t="shared" si="55"/>
        <v/>
      </c>
      <c r="N157" s="312"/>
      <c r="O157" s="302"/>
      <c r="P157" s="411" t="str">
        <f t="shared" si="56"/>
        <v/>
      </c>
      <c r="Q157" s="411" t="str">
        <f t="shared" si="57"/>
        <v/>
      </c>
      <c r="R157" s="313"/>
      <c r="S157" s="314"/>
      <c r="T157" s="215" t="str">
        <f t="shared" si="58"/>
        <v/>
      </c>
      <c r="U157" s="216" t="str">
        <f t="shared" si="59"/>
        <v/>
      </c>
      <c r="V157" s="216" t="str">
        <f t="shared" si="60"/>
        <v/>
      </c>
      <c r="W157" s="216" t="str">
        <f t="shared" si="61"/>
        <v/>
      </c>
      <c r="X157" s="216" t="str">
        <f t="shared" si="62"/>
        <v/>
      </c>
      <c r="Y157" s="216" t="str">
        <f t="shared" si="63"/>
        <v/>
      </c>
      <c r="Z157" s="216" t="str">
        <f t="shared" si="64"/>
        <v/>
      </c>
      <c r="AA157" s="216" t="str">
        <f t="shared" si="65"/>
        <v/>
      </c>
      <c r="AB157" s="217" t="str">
        <f t="shared" si="66"/>
        <v/>
      </c>
      <c r="AC157" s="218" t="str">
        <f t="shared" si="67"/>
        <v/>
      </c>
      <c r="AD157" s="317"/>
    </row>
    <row r="158" spans="2:30" x14ac:dyDescent="0.35">
      <c r="B158" s="96">
        <v>124</v>
      </c>
      <c r="C158" s="304"/>
      <c r="D158" s="302"/>
      <c r="E158" s="302"/>
      <c r="F158" s="644"/>
      <c r="G158" s="645"/>
      <c r="H158" s="408" t="str">
        <f t="shared" si="51"/>
        <v/>
      </c>
      <c r="I158" s="408" t="str">
        <f t="shared" si="52"/>
        <v/>
      </c>
      <c r="J158" s="311"/>
      <c r="K158" s="409" t="str">
        <f t="shared" si="53"/>
        <v/>
      </c>
      <c r="L158" s="406" t="str">
        <f t="shared" si="54"/>
        <v/>
      </c>
      <c r="M158" s="407" t="str">
        <f t="shared" si="55"/>
        <v/>
      </c>
      <c r="N158" s="312"/>
      <c r="O158" s="302"/>
      <c r="P158" s="411" t="str">
        <f t="shared" si="56"/>
        <v/>
      </c>
      <c r="Q158" s="411" t="str">
        <f t="shared" si="57"/>
        <v/>
      </c>
      <c r="R158" s="313"/>
      <c r="S158" s="314"/>
      <c r="T158" s="215" t="str">
        <f t="shared" si="58"/>
        <v/>
      </c>
      <c r="U158" s="216" t="str">
        <f t="shared" si="59"/>
        <v/>
      </c>
      <c r="V158" s="216" t="str">
        <f t="shared" si="60"/>
        <v/>
      </c>
      <c r="W158" s="216" t="str">
        <f t="shared" si="61"/>
        <v/>
      </c>
      <c r="X158" s="216" t="str">
        <f t="shared" si="62"/>
        <v/>
      </c>
      <c r="Y158" s="216" t="str">
        <f t="shared" si="63"/>
        <v/>
      </c>
      <c r="Z158" s="216" t="str">
        <f t="shared" si="64"/>
        <v/>
      </c>
      <c r="AA158" s="216" t="str">
        <f t="shared" si="65"/>
        <v/>
      </c>
      <c r="AB158" s="217" t="str">
        <f t="shared" si="66"/>
        <v/>
      </c>
      <c r="AC158" s="218" t="str">
        <f t="shared" si="67"/>
        <v/>
      </c>
      <c r="AD158" s="317"/>
    </row>
    <row r="159" spans="2:30" x14ac:dyDescent="0.35">
      <c r="B159" s="96">
        <v>125</v>
      </c>
      <c r="C159" s="304"/>
      <c r="D159" s="302"/>
      <c r="E159" s="302"/>
      <c r="F159" s="644"/>
      <c r="G159" s="645"/>
      <c r="H159" s="408" t="str">
        <f t="shared" si="51"/>
        <v/>
      </c>
      <c r="I159" s="408" t="str">
        <f t="shared" si="52"/>
        <v/>
      </c>
      <c r="J159" s="311"/>
      <c r="K159" s="409" t="str">
        <f t="shared" si="53"/>
        <v/>
      </c>
      <c r="L159" s="406" t="str">
        <f t="shared" si="54"/>
        <v/>
      </c>
      <c r="M159" s="407" t="str">
        <f t="shared" si="55"/>
        <v/>
      </c>
      <c r="N159" s="312"/>
      <c r="O159" s="302"/>
      <c r="P159" s="411" t="str">
        <f t="shared" si="56"/>
        <v/>
      </c>
      <c r="Q159" s="411" t="str">
        <f t="shared" si="57"/>
        <v/>
      </c>
      <c r="R159" s="313"/>
      <c r="S159" s="314"/>
      <c r="T159" s="215" t="str">
        <f t="shared" si="58"/>
        <v/>
      </c>
      <c r="U159" s="216" t="str">
        <f t="shared" si="59"/>
        <v/>
      </c>
      <c r="V159" s="216" t="str">
        <f t="shared" si="60"/>
        <v/>
      </c>
      <c r="W159" s="216" t="str">
        <f t="shared" si="61"/>
        <v/>
      </c>
      <c r="X159" s="216" t="str">
        <f t="shared" si="62"/>
        <v/>
      </c>
      <c r="Y159" s="216" t="str">
        <f t="shared" si="63"/>
        <v/>
      </c>
      <c r="Z159" s="216" t="str">
        <f t="shared" si="64"/>
        <v/>
      </c>
      <c r="AA159" s="216" t="str">
        <f t="shared" si="65"/>
        <v/>
      </c>
      <c r="AB159" s="217" t="str">
        <f t="shared" si="66"/>
        <v/>
      </c>
      <c r="AC159" s="218" t="str">
        <f t="shared" si="67"/>
        <v/>
      </c>
      <c r="AD159" s="317"/>
    </row>
    <row r="160" spans="2:30" x14ac:dyDescent="0.35">
      <c r="B160" s="96">
        <v>126</v>
      </c>
      <c r="C160" s="304"/>
      <c r="D160" s="302"/>
      <c r="E160" s="302"/>
      <c r="F160" s="644"/>
      <c r="G160" s="645"/>
      <c r="H160" s="408" t="str">
        <f t="shared" si="51"/>
        <v/>
      </c>
      <c r="I160" s="408" t="str">
        <f t="shared" si="52"/>
        <v/>
      </c>
      <c r="J160" s="311"/>
      <c r="K160" s="409" t="str">
        <f t="shared" si="53"/>
        <v/>
      </c>
      <c r="L160" s="406" t="str">
        <f t="shared" si="54"/>
        <v/>
      </c>
      <c r="M160" s="407" t="str">
        <f t="shared" si="55"/>
        <v/>
      </c>
      <c r="N160" s="312"/>
      <c r="O160" s="302"/>
      <c r="P160" s="411" t="str">
        <f t="shared" si="56"/>
        <v/>
      </c>
      <c r="Q160" s="411" t="str">
        <f t="shared" si="57"/>
        <v/>
      </c>
      <c r="R160" s="313"/>
      <c r="S160" s="314"/>
      <c r="T160" s="215" t="str">
        <f t="shared" si="58"/>
        <v/>
      </c>
      <c r="U160" s="216" t="str">
        <f t="shared" si="59"/>
        <v/>
      </c>
      <c r="V160" s="216" t="str">
        <f t="shared" si="60"/>
        <v/>
      </c>
      <c r="W160" s="216" t="str">
        <f t="shared" si="61"/>
        <v/>
      </c>
      <c r="X160" s="216" t="str">
        <f t="shared" si="62"/>
        <v/>
      </c>
      <c r="Y160" s="216" t="str">
        <f t="shared" si="63"/>
        <v/>
      </c>
      <c r="Z160" s="216" t="str">
        <f t="shared" si="64"/>
        <v/>
      </c>
      <c r="AA160" s="216" t="str">
        <f t="shared" si="65"/>
        <v/>
      </c>
      <c r="AB160" s="217" t="str">
        <f t="shared" si="66"/>
        <v/>
      </c>
      <c r="AC160" s="218" t="str">
        <f t="shared" si="67"/>
        <v/>
      </c>
      <c r="AD160" s="317"/>
    </row>
    <row r="161" spans="2:30" x14ac:dyDescent="0.35">
      <c r="B161" s="96">
        <v>127</v>
      </c>
      <c r="C161" s="304"/>
      <c r="D161" s="302"/>
      <c r="E161" s="302"/>
      <c r="F161" s="644"/>
      <c r="G161" s="645"/>
      <c r="H161" s="408" t="str">
        <f t="shared" si="51"/>
        <v/>
      </c>
      <c r="I161" s="408" t="str">
        <f t="shared" si="52"/>
        <v/>
      </c>
      <c r="J161" s="311"/>
      <c r="K161" s="409" t="str">
        <f t="shared" si="53"/>
        <v/>
      </c>
      <c r="L161" s="406" t="str">
        <f t="shared" si="54"/>
        <v/>
      </c>
      <c r="M161" s="407" t="str">
        <f t="shared" si="55"/>
        <v/>
      </c>
      <c r="N161" s="312"/>
      <c r="O161" s="302"/>
      <c r="P161" s="411" t="str">
        <f t="shared" si="56"/>
        <v/>
      </c>
      <c r="Q161" s="411" t="str">
        <f t="shared" si="57"/>
        <v/>
      </c>
      <c r="R161" s="313"/>
      <c r="S161" s="314"/>
      <c r="T161" s="215" t="str">
        <f t="shared" si="58"/>
        <v/>
      </c>
      <c r="U161" s="216" t="str">
        <f t="shared" si="59"/>
        <v/>
      </c>
      <c r="V161" s="216" t="str">
        <f t="shared" si="60"/>
        <v/>
      </c>
      <c r="W161" s="216" t="str">
        <f t="shared" si="61"/>
        <v/>
      </c>
      <c r="X161" s="216" t="str">
        <f t="shared" si="62"/>
        <v/>
      </c>
      <c r="Y161" s="216" t="str">
        <f t="shared" si="63"/>
        <v/>
      </c>
      <c r="Z161" s="216" t="str">
        <f t="shared" si="64"/>
        <v/>
      </c>
      <c r="AA161" s="216" t="str">
        <f t="shared" si="65"/>
        <v/>
      </c>
      <c r="AB161" s="217" t="str">
        <f t="shared" si="66"/>
        <v/>
      </c>
      <c r="AC161" s="218" t="str">
        <f t="shared" si="67"/>
        <v/>
      </c>
      <c r="AD161" s="317"/>
    </row>
    <row r="162" spans="2:30" x14ac:dyDescent="0.35">
      <c r="B162" s="96">
        <v>128</v>
      </c>
      <c r="C162" s="304"/>
      <c r="D162" s="302"/>
      <c r="E162" s="302"/>
      <c r="F162" s="644"/>
      <c r="G162" s="645"/>
      <c r="H162" s="408" t="str">
        <f t="shared" si="51"/>
        <v/>
      </c>
      <c r="I162" s="408" t="str">
        <f t="shared" si="52"/>
        <v/>
      </c>
      <c r="J162" s="311"/>
      <c r="K162" s="409" t="str">
        <f t="shared" si="53"/>
        <v/>
      </c>
      <c r="L162" s="406" t="str">
        <f t="shared" si="54"/>
        <v/>
      </c>
      <c r="M162" s="407" t="str">
        <f t="shared" si="55"/>
        <v/>
      </c>
      <c r="N162" s="312"/>
      <c r="O162" s="302"/>
      <c r="P162" s="411" t="str">
        <f t="shared" si="56"/>
        <v/>
      </c>
      <c r="Q162" s="411" t="str">
        <f t="shared" si="57"/>
        <v/>
      </c>
      <c r="R162" s="313"/>
      <c r="S162" s="314"/>
      <c r="T162" s="215" t="str">
        <f t="shared" si="58"/>
        <v/>
      </c>
      <c r="U162" s="216" t="str">
        <f t="shared" si="59"/>
        <v/>
      </c>
      <c r="V162" s="216" t="str">
        <f t="shared" si="60"/>
        <v/>
      </c>
      <c r="W162" s="216" t="str">
        <f t="shared" si="61"/>
        <v/>
      </c>
      <c r="X162" s="216" t="str">
        <f t="shared" si="62"/>
        <v/>
      </c>
      <c r="Y162" s="216" t="str">
        <f t="shared" si="63"/>
        <v/>
      </c>
      <c r="Z162" s="216" t="str">
        <f t="shared" si="64"/>
        <v/>
      </c>
      <c r="AA162" s="216" t="str">
        <f t="shared" si="65"/>
        <v/>
      </c>
      <c r="AB162" s="217" t="str">
        <f t="shared" si="66"/>
        <v/>
      </c>
      <c r="AC162" s="218" t="str">
        <f t="shared" si="67"/>
        <v/>
      </c>
      <c r="AD162" s="317"/>
    </row>
    <row r="163" spans="2:30" x14ac:dyDescent="0.35">
      <c r="B163" s="96">
        <v>129</v>
      </c>
      <c r="C163" s="304"/>
      <c r="D163" s="302"/>
      <c r="E163" s="302"/>
      <c r="F163" s="644"/>
      <c r="G163" s="645"/>
      <c r="H163" s="408" t="str">
        <f t="shared" si="51"/>
        <v/>
      </c>
      <c r="I163" s="408" t="str">
        <f t="shared" si="52"/>
        <v/>
      </c>
      <c r="J163" s="311"/>
      <c r="K163" s="409" t="str">
        <f t="shared" ref="K163:K194" si="68">IFERROR(IF(IntExt="Interior",sqft,VLOOKUP(SpaceType,ExteriorTable,9,FALSE)),"")</f>
        <v/>
      </c>
      <c r="L163" s="406" t="str">
        <f t="shared" ref="L163:L194" si="69">IF(ISBLANK(SpaceType),"",(IF(IntExt="Interior",VLOOKUP(SpaceType,InteriorTable,5,FALSE),IF(IntExt="Exterior",VLOOKUP(SpaceType,ExteriorTable,LightingZone+2,FALSE),"ERROR"))))</f>
        <v/>
      </c>
      <c r="M163" s="407" t="str">
        <f t="shared" ref="M163:M194" si="70">IFERROR(LPDb*AreaSize/1000,"")</f>
        <v/>
      </c>
      <c r="N163" s="312"/>
      <c r="O163" s="302"/>
      <c r="P163" s="411" t="str">
        <f t="shared" ref="P163:P194" si="71">IFERROR(VLOOKUP(FixtureNum,FixtureTable,5,FALSE),"")</f>
        <v/>
      </c>
      <c r="Q163" s="411" t="str">
        <f t="shared" ref="Q163:Q194" si="72">IFERROR(WperFixture*ProposedQty/1000,"")</f>
        <v/>
      </c>
      <c r="R163" s="313"/>
      <c r="S163" s="314"/>
      <c r="T163" s="215" t="str">
        <f t="shared" ref="T163:T194" si="73">IFERROR(IF(IntExt="Interior",kWbase-kWee,""),"")</f>
        <v/>
      </c>
      <c r="U163" s="216" t="str">
        <f t="shared" ref="U163:U194" si="74">IFERROR(IF(IntExt="Exterior",kWbase-kWee,""),"")</f>
        <v/>
      </c>
      <c r="V163" s="216" t="str">
        <f t="shared" ref="V163:V194" si="75">IFERROR(IF(IntExt="Exterior",0,VLOOKUP(SpaceType,InteriorTable,2,FALSE)),"")</f>
        <v/>
      </c>
      <c r="W163" s="216" t="str">
        <f t="shared" ref="W163:W194" si="76">IFERROR(IF(OR(IntExt="Exterior",Cooling="Not Cooled"),1,VLOOKUP(SpaceType,InteriorTable,6,FALSE)),"")</f>
        <v/>
      </c>
      <c r="X163" s="216" t="str">
        <f t="shared" ref="X163:X194" si="77">IFERROR(IF(OR(IntExt="Exterior",Cooling="Not Cooled"),1,VLOOKUP(SpaceType,InteriorTable,7,FALSE)),"")</f>
        <v/>
      </c>
      <c r="Y163" s="216" t="str">
        <f t="shared" ref="Y163:Y194" si="78">IF(ISBLANK(IntExt),"",IFERROR(VLOOKUP(SpaceType,ESFtable,2,FALSE), IF(IntExt="Interior",VLOOKUP("Interior|Occupancy",ESFtable,2,FALSE),VLOOKUP("Exterior|Setback",ESFtable,2,FALSE))))</f>
        <v/>
      </c>
      <c r="Z163" s="216" t="str">
        <f t="shared" ref="Z163:Z194" si="79">IFERROR(VLOOKUP(IntExt&amp;"|"&amp;PropControlType,ESFtable,2,FALSE),ESFb)</f>
        <v/>
      </c>
      <c r="AA163" s="216" t="str">
        <f t="shared" ref="AA163:AA194" si="80">IF(IntExt="Interior",VLOOKUP(SpaceType,InteriorTable,3,FALSE),IF(IntExt="Exterior",VLOOKUP(IntExt,InteriorTable,3,FALSE),""))</f>
        <v/>
      </c>
      <c r="AB163" s="217" t="str">
        <f t="shared" ref="AB163:AB194" si="81">IFERROR((kWbase-kWee)*CF*WHFd,"")</f>
        <v/>
      </c>
      <c r="AC163" s="218" t="str">
        <f t="shared" ref="AC163:AC194" si="82">IFERROR(EFLH_deemed*WHFe*(kWbase*(1-ESFb)-kWee*(1-ESFee)),"")</f>
        <v/>
      </c>
      <c r="AD163" s="317"/>
    </row>
    <row r="164" spans="2:30" x14ac:dyDescent="0.35">
      <c r="B164" s="96">
        <v>130</v>
      </c>
      <c r="C164" s="304"/>
      <c r="D164" s="302"/>
      <c r="E164" s="302"/>
      <c r="F164" s="644"/>
      <c r="G164" s="645"/>
      <c r="H164" s="408" t="str">
        <f t="shared" ref="H164:H227" si="83">IF(E164="Exterior","N/A","")</f>
        <v/>
      </c>
      <c r="I164" s="408" t="str">
        <f t="shared" ref="I164:I227" si="84">IF(E164="Exterior","N/A","")</f>
        <v/>
      </c>
      <c r="J164" s="311"/>
      <c r="K164" s="409" t="str">
        <f t="shared" si="68"/>
        <v/>
      </c>
      <c r="L164" s="406" t="str">
        <f t="shared" si="69"/>
        <v/>
      </c>
      <c r="M164" s="407" t="str">
        <f t="shared" si="70"/>
        <v/>
      </c>
      <c r="N164" s="312"/>
      <c r="O164" s="302"/>
      <c r="P164" s="411" t="str">
        <f t="shared" si="71"/>
        <v/>
      </c>
      <c r="Q164" s="411" t="str">
        <f t="shared" si="72"/>
        <v/>
      </c>
      <c r="R164" s="313"/>
      <c r="S164" s="314"/>
      <c r="T164" s="215" t="str">
        <f t="shared" si="73"/>
        <v/>
      </c>
      <c r="U164" s="216" t="str">
        <f t="shared" si="74"/>
        <v/>
      </c>
      <c r="V164" s="216" t="str">
        <f t="shared" si="75"/>
        <v/>
      </c>
      <c r="W164" s="216" t="str">
        <f t="shared" si="76"/>
        <v/>
      </c>
      <c r="X164" s="216" t="str">
        <f t="shared" si="77"/>
        <v/>
      </c>
      <c r="Y164" s="216" t="str">
        <f t="shared" si="78"/>
        <v/>
      </c>
      <c r="Z164" s="216" t="str">
        <f t="shared" si="79"/>
        <v/>
      </c>
      <c r="AA164" s="216" t="str">
        <f t="shared" si="80"/>
        <v/>
      </c>
      <c r="AB164" s="217" t="str">
        <f t="shared" si="81"/>
        <v/>
      </c>
      <c r="AC164" s="218" t="str">
        <f t="shared" si="82"/>
        <v/>
      </c>
      <c r="AD164" s="317"/>
    </row>
    <row r="165" spans="2:30" x14ac:dyDescent="0.35">
      <c r="B165" s="96">
        <v>131</v>
      </c>
      <c r="C165" s="304"/>
      <c r="D165" s="302"/>
      <c r="E165" s="302"/>
      <c r="F165" s="644"/>
      <c r="G165" s="645"/>
      <c r="H165" s="408" t="str">
        <f t="shared" si="83"/>
        <v/>
      </c>
      <c r="I165" s="408" t="str">
        <f t="shared" si="84"/>
        <v/>
      </c>
      <c r="J165" s="311"/>
      <c r="K165" s="409" t="str">
        <f t="shared" si="68"/>
        <v/>
      </c>
      <c r="L165" s="406" t="str">
        <f t="shared" si="69"/>
        <v/>
      </c>
      <c r="M165" s="407" t="str">
        <f t="shared" si="70"/>
        <v/>
      </c>
      <c r="N165" s="312"/>
      <c r="O165" s="302"/>
      <c r="P165" s="411" t="str">
        <f t="shared" si="71"/>
        <v/>
      </c>
      <c r="Q165" s="411" t="str">
        <f t="shared" si="72"/>
        <v/>
      </c>
      <c r="R165" s="313"/>
      <c r="S165" s="314"/>
      <c r="T165" s="215" t="str">
        <f t="shared" si="73"/>
        <v/>
      </c>
      <c r="U165" s="216" t="str">
        <f t="shared" si="74"/>
        <v/>
      </c>
      <c r="V165" s="216" t="str">
        <f t="shared" si="75"/>
        <v/>
      </c>
      <c r="W165" s="216" t="str">
        <f t="shared" si="76"/>
        <v/>
      </c>
      <c r="X165" s="216" t="str">
        <f t="shared" si="77"/>
        <v/>
      </c>
      <c r="Y165" s="216" t="str">
        <f t="shared" si="78"/>
        <v/>
      </c>
      <c r="Z165" s="216" t="str">
        <f t="shared" si="79"/>
        <v/>
      </c>
      <c r="AA165" s="216" t="str">
        <f t="shared" si="80"/>
        <v/>
      </c>
      <c r="AB165" s="217" t="str">
        <f t="shared" si="81"/>
        <v/>
      </c>
      <c r="AC165" s="218" t="str">
        <f t="shared" si="82"/>
        <v/>
      </c>
      <c r="AD165" s="317"/>
    </row>
    <row r="166" spans="2:30" x14ac:dyDescent="0.35">
      <c r="B166" s="96">
        <v>132</v>
      </c>
      <c r="C166" s="304"/>
      <c r="D166" s="302"/>
      <c r="E166" s="302"/>
      <c r="F166" s="644"/>
      <c r="G166" s="645"/>
      <c r="H166" s="408" t="str">
        <f t="shared" si="83"/>
        <v/>
      </c>
      <c r="I166" s="408" t="str">
        <f t="shared" si="84"/>
        <v/>
      </c>
      <c r="J166" s="311"/>
      <c r="K166" s="409" t="str">
        <f t="shared" si="68"/>
        <v/>
      </c>
      <c r="L166" s="406" t="str">
        <f t="shared" si="69"/>
        <v/>
      </c>
      <c r="M166" s="407" t="str">
        <f t="shared" si="70"/>
        <v/>
      </c>
      <c r="N166" s="312"/>
      <c r="O166" s="302"/>
      <c r="P166" s="411" t="str">
        <f t="shared" si="71"/>
        <v/>
      </c>
      <c r="Q166" s="411" t="str">
        <f t="shared" si="72"/>
        <v/>
      </c>
      <c r="R166" s="313"/>
      <c r="S166" s="314"/>
      <c r="T166" s="215" t="str">
        <f t="shared" si="73"/>
        <v/>
      </c>
      <c r="U166" s="216" t="str">
        <f t="shared" si="74"/>
        <v/>
      </c>
      <c r="V166" s="216" t="str">
        <f t="shared" si="75"/>
        <v/>
      </c>
      <c r="W166" s="216" t="str">
        <f t="shared" si="76"/>
        <v/>
      </c>
      <c r="X166" s="216" t="str">
        <f t="shared" si="77"/>
        <v/>
      </c>
      <c r="Y166" s="216" t="str">
        <f t="shared" si="78"/>
        <v/>
      </c>
      <c r="Z166" s="216" t="str">
        <f t="shared" si="79"/>
        <v/>
      </c>
      <c r="AA166" s="216" t="str">
        <f t="shared" si="80"/>
        <v/>
      </c>
      <c r="AB166" s="217" t="str">
        <f t="shared" si="81"/>
        <v/>
      </c>
      <c r="AC166" s="218" t="str">
        <f t="shared" si="82"/>
        <v/>
      </c>
      <c r="AD166" s="317"/>
    </row>
    <row r="167" spans="2:30" x14ac:dyDescent="0.35">
      <c r="B167" s="96">
        <v>133</v>
      </c>
      <c r="C167" s="304"/>
      <c r="D167" s="302"/>
      <c r="E167" s="302"/>
      <c r="F167" s="644"/>
      <c r="G167" s="645"/>
      <c r="H167" s="408" t="str">
        <f t="shared" si="83"/>
        <v/>
      </c>
      <c r="I167" s="408" t="str">
        <f t="shared" si="84"/>
        <v/>
      </c>
      <c r="J167" s="311"/>
      <c r="K167" s="409" t="str">
        <f t="shared" si="68"/>
        <v/>
      </c>
      <c r="L167" s="406" t="str">
        <f t="shared" si="69"/>
        <v/>
      </c>
      <c r="M167" s="407" t="str">
        <f t="shared" si="70"/>
        <v/>
      </c>
      <c r="N167" s="312"/>
      <c r="O167" s="302"/>
      <c r="P167" s="411" t="str">
        <f t="shared" si="71"/>
        <v/>
      </c>
      <c r="Q167" s="411" t="str">
        <f t="shared" si="72"/>
        <v/>
      </c>
      <c r="R167" s="313"/>
      <c r="S167" s="314"/>
      <c r="T167" s="215" t="str">
        <f t="shared" si="73"/>
        <v/>
      </c>
      <c r="U167" s="216" t="str">
        <f t="shared" si="74"/>
        <v/>
      </c>
      <c r="V167" s="216" t="str">
        <f t="shared" si="75"/>
        <v/>
      </c>
      <c r="W167" s="216" t="str">
        <f t="shared" si="76"/>
        <v/>
      </c>
      <c r="X167" s="216" t="str">
        <f t="shared" si="77"/>
        <v/>
      </c>
      <c r="Y167" s="216" t="str">
        <f t="shared" si="78"/>
        <v/>
      </c>
      <c r="Z167" s="216" t="str">
        <f t="shared" si="79"/>
        <v/>
      </c>
      <c r="AA167" s="216" t="str">
        <f t="shared" si="80"/>
        <v/>
      </c>
      <c r="AB167" s="217" t="str">
        <f t="shared" si="81"/>
        <v/>
      </c>
      <c r="AC167" s="218" t="str">
        <f t="shared" si="82"/>
        <v/>
      </c>
      <c r="AD167" s="317"/>
    </row>
    <row r="168" spans="2:30" x14ac:dyDescent="0.35">
      <c r="B168" s="96">
        <v>134</v>
      </c>
      <c r="C168" s="304"/>
      <c r="D168" s="302"/>
      <c r="E168" s="302"/>
      <c r="F168" s="644"/>
      <c r="G168" s="645"/>
      <c r="H168" s="408" t="str">
        <f t="shared" si="83"/>
        <v/>
      </c>
      <c r="I168" s="408" t="str">
        <f t="shared" si="84"/>
        <v/>
      </c>
      <c r="J168" s="311"/>
      <c r="K168" s="409" t="str">
        <f t="shared" si="68"/>
        <v/>
      </c>
      <c r="L168" s="406" t="str">
        <f t="shared" si="69"/>
        <v/>
      </c>
      <c r="M168" s="407" t="str">
        <f t="shared" si="70"/>
        <v/>
      </c>
      <c r="N168" s="312"/>
      <c r="O168" s="302"/>
      <c r="P168" s="411" t="str">
        <f t="shared" si="71"/>
        <v/>
      </c>
      <c r="Q168" s="411" t="str">
        <f t="shared" si="72"/>
        <v/>
      </c>
      <c r="R168" s="313"/>
      <c r="S168" s="314"/>
      <c r="T168" s="215" t="str">
        <f t="shared" si="73"/>
        <v/>
      </c>
      <c r="U168" s="216" t="str">
        <f t="shared" si="74"/>
        <v/>
      </c>
      <c r="V168" s="216" t="str">
        <f t="shared" si="75"/>
        <v/>
      </c>
      <c r="W168" s="216" t="str">
        <f t="shared" si="76"/>
        <v/>
      </c>
      <c r="X168" s="216" t="str">
        <f t="shared" si="77"/>
        <v/>
      </c>
      <c r="Y168" s="216" t="str">
        <f t="shared" si="78"/>
        <v/>
      </c>
      <c r="Z168" s="216" t="str">
        <f t="shared" si="79"/>
        <v/>
      </c>
      <c r="AA168" s="216" t="str">
        <f t="shared" si="80"/>
        <v/>
      </c>
      <c r="AB168" s="217" t="str">
        <f t="shared" si="81"/>
        <v/>
      </c>
      <c r="AC168" s="218" t="str">
        <f t="shared" si="82"/>
        <v/>
      </c>
      <c r="AD168" s="317"/>
    </row>
    <row r="169" spans="2:30" x14ac:dyDescent="0.35">
      <c r="B169" s="96">
        <v>135</v>
      </c>
      <c r="C169" s="304"/>
      <c r="D169" s="302"/>
      <c r="E169" s="302"/>
      <c r="F169" s="644"/>
      <c r="G169" s="645"/>
      <c r="H169" s="408" t="str">
        <f t="shared" si="83"/>
        <v/>
      </c>
      <c r="I169" s="408" t="str">
        <f t="shared" si="84"/>
        <v/>
      </c>
      <c r="J169" s="311"/>
      <c r="K169" s="409" t="str">
        <f t="shared" si="68"/>
        <v/>
      </c>
      <c r="L169" s="406" t="str">
        <f t="shared" si="69"/>
        <v/>
      </c>
      <c r="M169" s="407" t="str">
        <f t="shared" si="70"/>
        <v/>
      </c>
      <c r="N169" s="312"/>
      <c r="O169" s="302"/>
      <c r="P169" s="411" t="str">
        <f t="shared" si="71"/>
        <v/>
      </c>
      <c r="Q169" s="411" t="str">
        <f t="shared" si="72"/>
        <v/>
      </c>
      <c r="R169" s="313"/>
      <c r="S169" s="314"/>
      <c r="T169" s="215" t="str">
        <f t="shared" si="73"/>
        <v/>
      </c>
      <c r="U169" s="216" t="str">
        <f t="shared" si="74"/>
        <v/>
      </c>
      <c r="V169" s="216" t="str">
        <f t="shared" si="75"/>
        <v/>
      </c>
      <c r="W169" s="216" t="str">
        <f t="shared" si="76"/>
        <v/>
      </c>
      <c r="X169" s="216" t="str">
        <f t="shared" si="77"/>
        <v/>
      </c>
      <c r="Y169" s="216" t="str">
        <f t="shared" si="78"/>
        <v/>
      </c>
      <c r="Z169" s="216" t="str">
        <f t="shared" si="79"/>
        <v/>
      </c>
      <c r="AA169" s="216" t="str">
        <f t="shared" si="80"/>
        <v/>
      </c>
      <c r="AB169" s="217" t="str">
        <f t="shared" si="81"/>
        <v/>
      </c>
      <c r="AC169" s="218" t="str">
        <f t="shared" si="82"/>
        <v/>
      </c>
      <c r="AD169" s="317"/>
    </row>
    <row r="170" spans="2:30" x14ac:dyDescent="0.35">
      <c r="B170" s="96">
        <v>136</v>
      </c>
      <c r="C170" s="304"/>
      <c r="D170" s="302"/>
      <c r="E170" s="302"/>
      <c r="F170" s="644"/>
      <c r="G170" s="645"/>
      <c r="H170" s="408" t="str">
        <f t="shared" si="83"/>
        <v/>
      </c>
      <c r="I170" s="408" t="str">
        <f t="shared" si="84"/>
        <v/>
      </c>
      <c r="J170" s="311"/>
      <c r="K170" s="409" t="str">
        <f t="shared" si="68"/>
        <v/>
      </c>
      <c r="L170" s="406" t="str">
        <f t="shared" si="69"/>
        <v/>
      </c>
      <c r="M170" s="407" t="str">
        <f t="shared" si="70"/>
        <v/>
      </c>
      <c r="N170" s="312"/>
      <c r="O170" s="302"/>
      <c r="P170" s="411" t="str">
        <f t="shared" si="71"/>
        <v/>
      </c>
      <c r="Q170" s="411" t="str">
        <f t="shared" si="72"/>
        <v/>
      </c>
      <c r="R170" s="313"/>
      <c r="S170" s="314"/>
      <c r="T170" s="215" t="str">
        <f t="shared" si="73"/>
        <v/>
      </c>
      <c r="U170" s="216" t="str">
        <f t="shared" si="74"/>
        <v/>
      </c>
      <c r="V170" s="216" t="str">
        <f t="shared" si="75"/>
        <v/>
      </c>
      <c r="W170" s="216" t="str">
        <f t="shared" si="76"/>
        <v/>
      </c>
      <c r="X170" s="216" t="str">
        <f t="shared" si="77"/>
        <v/>
      </c>
      <c r="Y170" s="216" t="str">
        <f t="shared" si="78"/>
        <v/>
      </c>
      <c r="Z170" s="216" t="str">
        <f t="shared" si="79"/>
        <v/>
      </c>
      <c r="AA170" s="216" t="str">
        <f t="shared" si="80"/>
        <v/>
      </c>
      <c r="AB170" s="217" t="str">
        <f t="shared" si="81"/>
        <v/>
      </c>
      <c r="AC170" s="218" t="str">
        <f t="shared" si="82"/>
        <v/>
      </c>
      <c r="AD170" s="317"/>
    </row>
    <row r="171" spans="2:30" x14ac:dyDescent="0.35">
      <c r="B171" s="96">
        <v>137</v>
      </c>
      <c r="C171" s="304"/>
      <c r="D171" s="302"/>
      <c r="E171" s="302"/>
      <c r="F171" s="644"/>
      <c r="G171" s="645"/>
      <c r="H171" s="408" t="str">
        <f t="shared" si="83"/>
        <v/>
      </c>
      <c r="I171" s="408" t="str">
        <f t="shared" si="84"/>
        <v/>
      </c>
      <c r="J171" s="311"/>
      <c r="K171" s="409" t="str">
        <f t="shared" si="68"/>
        <v/>
      </c>
      <c r="L171" s="406" t="str">
        <f t="shared" si="69"/>
        <v/>
      </c>
      <c r="M171" s="407" t="str">
        <f t="shared" si="70"/>
        <v/>
      </c>
      <c r="N171" s="312"/>
      <c r="O171" s="302"/>
      <c r="P171" s="411" t="str">
        <f t="shared" si="71"/>
        <v/>
      </c>
      <c r="Q171" s="411" t="str">
        <f t="shared" si="72"/>
        <v/>
      </c>
      <c r="R171" s="313"/>
      <c r="S171" s="314"/>
      <c r="T171" s="215" t="str">
        <f t="shared" si="73"/>
        <v/>
      </c>
      <c r="U171" s="216" t="str">
        <f t="shared" si="74"/>
        <v/>
      </c>
      <c r="V171" s="216" t="str">
        <f t="shared" si="75"/>
        <v/>
      </c>
      <c r="W171" s="216" t="str">
        <f t="shared" si="76"/>
        <v/>
      </c>
      <c r="X171" s="216" t="str">
        <f t="shared" si="77"/>
        <v/>
      </c>
      <c r="Y171" s="216" t="str">
        <f t="shared" si="78"/>
        <v/>
      </c>
      <c r="Z171" s="216" t="str">
        <f t="shared" si="79"/>
        <v/>
      </c>
      <c r="AA171" s="216" t="str">
        <f t="shared" si="80"/>
        <v/>
      </c>
      <c r="AB171" s="217" t="str">
        <f t="shared" si="81"/>
        <v/>
      </c>
      <c r="AC171" s="218" t="str">
        <f t="shared" si="82"/>
        <v/>
      </c>
      <c r="AD171" s="317"/>
    </row>
    <row r="172" spans="2:30" x14ac:dyDescent="0.35">
      <c r="B172" s="96">
        <v>138</v>
      </c>
      <c r="C172" s="304"/>
      <c r="D172" s="302"/>
      <c r="E172" s="302"/>
      <c r="F172" s="644"/>
      <c r="G172" s="645"/>
      <c r="H172" s="408" t="str">
        <f t="shared" si="83"/>
        <v/>
      </c>
      <c r="I172" s="408" t="str">
        <f t="shared" si="84"/>
        <v/>
      </c>
      <c r="J172" s="311"/>
      <c r="K172" s="409" t="str">
        <f t="shared" si="68"/>
        <v/>
      </c>
      <c r="L172" s="406" t="str">
        <f t="shared" si="69"/>
        <v/>
      </c>
      <c r="M172" s="407" t="str">
        <f t="shared" si="70"/>
        <v/>
      </c>
      <c r="N172" s="312"/>
      <c r="O172" s="302"/>
      <c r="P172" s="411" t="str">
        <f t="shared" si="71"/>
        <v/>
      </c>
      <c r="Q172" s="411" t="str">
        <f t="shared" si="72"/>
        <v/>
      </c>
      <c r="R172" s="313"/>
      <c r="S172" s="314"/>
      <c r="T172" s="215" t="str">
        <f t="shared" si="73"/>
        <v/>
      </c>
      <c r="U172" s="216" t="str">
        <f t="shared" si="74"/>
        <v/>
      </c>
      <c r="V172" s="216" t="str">
        <f t="shared" si="75"/>
        <v/>
      </c>
      <c r="W172" s="216" t="str">
        <f t="shared" si="76"/>
        <v/>
      </c>
      <c r="X172" s="216" t="str">
        <f t="shared" si="77"/>
        <v/>
      </c>
      <c r="Y172" s="216" t="str">
        <f t="shared" si="78"/>
        <v/>
      </c>
      <c r="Z172" s="216" t="str">
        <f t="shared" si="79"/>
        <v/>
      </c>
      <c r="AA172" s="216" t="str">
        <f t="shared" si="80"/>
        <v/>
      </c>
      <c r="AB172" s="217" t="str">
        <f t="shared" si="81"/>
        <v/>
      </c>
      <c r="AC172" s="218" t="str">
        <f t="shared" si="82"/>
        <v/>
      </c>
      <c r="AD172" s="317"/>
    </row>
    <row r="173" spans="2:30" x14ac:dyDescent="0.35">
      <c r="B173" s="96">
        <v>139</v>
      </c>
      <c r="C173" s="304"/>
      <c r="D173" s="302"/>
      <c r="E173" s="302"/>
      <c r="F173" s="644"/>
      <c r="G173" s="645"/>
      <c r="H173" s="408" t="str">
        <f t="shared" si="83"/>
        <v/>
      </c>
      <c r="I173" s="408" t="str">
        <f t="shared" si="84"/>
        <v/>
      </c>
      <c r="J173" s="311"/>
      <c r="K173" s="409" t="str">
        <f t="shared" si="68"/>
        <v/>
      </c>
      <c r="L173" s="406" t="str">
        <f t="shared" si="69"/>
        <v/>
      </c>
      <c r="M173" s="407" t="str">
        <f t="shared" si="70"/>
        <v/>
      </c>
      <c r="N173" s="312"/>
      <c r="O173" s="302"/>
      <c r="P173" s="411" t="str">
        <f t="shared" si="71"/>
        <v/>
      </c>
      <c r="Q173" s="411" t="str">
        <f t="shared" si="72"/>
        <v/>
      </c>
      <c r="R173" s="313"/>
      <c r="S173" s="314"/>
      <c r="T173" s="215" t="str">
        <f t="shared" si="73"/>
        <v/>
      </c>
      <c r="U173" s="216" t="str">
        <f t="shared" si="74"/>
        <v/>
      </c>
      <c r="V173" s="216" t="str">
        <f t="shared" si="75"/>
        <v/>
      </c>
      <c r="W173" s="216" t="str">
        <f t="shared" si="76"/>
        <v/>
      </c>
      <c r="X173" s="216" t="str">
        <f t="shared" si="77"/>
        <v/>
      </c>
      <c r="Y173" s="216" t="str">
        <f t="shared" si="78"/>
        <v/>
      </c>
      <c r="Z173" s="216" t="str">
        <f t="shared" si="79"/>
        <v/>
      </c>
      <c r="AA173" s="216" t="str">
        <f t="shared" si="80"/>
        <v/>
      </c>
      <c r="AB173" s="217" t="str">
        <f t="shared" si="81"/>
        <v/>
      </c>
      <c r="AC173" s="218" t="str">
        <f t="shared" si="82"/>
        <v/>
      </c>
      <c r="AD173" s="317"/>
    </row>
    <row r="174" spans="2:30" x14ac:dyDescent="0.35">
      <c r="B174" s="96">
        <v>140</v>
      </c>
      <c r="C174" s="304"/>
      <c r="D174" s="302"/>
      <c r="E174" s="302"/>
      <c r="F174" s="644"/>
      <c r="G174" s="645"/>
      <c r="H174" s="408" t="str">
        <f t="shared" si="83"/>
        <v/>
      </c>
      <c r="I174" s="408" t="str">
        <f t="shared" si="84"/>
        <v/>
      </c>
      <c r="J174" s="311"/>
      <c r="K174" s="409" t="str">
        <f t="shared" si="68"/>
        <v/>
      </c>
      <c r="L174" s="406" t="str">
        <f t="shared" si="69"/>
        <v/>
      </c>
      <c r="M174" s="407" t="str">
        <f t="shared" si="70"/>
        <v/>
      </c>
      <c r="N174" s="312"/>
      <c r="O174" s="302"/>
      <c r="P174" s="411" t="str">
        <f t="shared" si="71"/>
        <v/>
      </c>
      <c r="Q174" s="411" t="str">
        <f t="shared" si="72"/>
        <v/>
      </c>
      <c r="R174" s="313"/>
      <c r="S174" s="314"/>
      <c r="T174" s="215" t="str">
        <f t="shared" si="73"/>
        <v/>
      </c>
      <c r="U174" s="216" t="str">
        <f t="shared" si="74"/>
        <v/>
      </c>
      <c r="V174" s="216" t="str">
        <f t="shared" si="75"/>
        <v/>
      </c>
      <c r="W174" s="216" t="str">
        <f t="shared" si="76"/>
        <v/>
      </c>
      <c r="X174" s="216" t="str">
        <f t="shared" si="77"/>
        <v/>
      </c>
      <c r="Y174" s="216" t="str">
        <f t="shared" si="78"/>
        <v/>
      </c>
      <c r="Z174" s="216" t="str">
        <f t="shared" si="79"/>
        <v/>
      </c>
      <c r="AA174" s="216" t="str">
        <f t="shared" si="80"/>
        <v/>
      </c>
      <c r="AB174" s="217" t="str">
        <f t="shared" si="81"/>
        <v/>
      </c>
      <c r="AC174" s="218" t="str">
        <f t="shared" si="82"/>
        <v/>
      </c>
      <c r="AD174" s="317"/>
    </row>
    <row r="175" spans="2:30" x14ac:dyDescent="0.35">
      <c r="B175" s="96">
        <v>141</v>
      </c>
      <c r="C175" s="304"/>
      <c r="D175" s="302"/>
      <c r="E175" s="302"/>
      <c r="F175" s="644"/>
      <c r="G175" s="645"/>
      <c r="H175" s="408" t="str">
        <f t="shared" si="83"/>
        <v/>
      </c>
      <c r="I175" s="408" t="str">
        <f t="shared" si="84"/>
        <v/>
      </c>
      <c r="J175" s="311"/>
      <c r="K175" s="409" t="str">
        <f t="shared" si="68"/>
        <v/>
      </c>
      <c r="L175" s="406" t="str">
        <f t="shared" si="69"/>
        <v/>
      </c>
      <c r="M175" s="407" t="str">
        <f t="shared" si="70"/>
        <v/>
      </c>
      <c r="N175" s="312"/>
      <c r="O175" s="302"/>
      <c r="P175" s="411" t="str">
        <f t="shared" si="71"/>
        <v/>
      </c>
      <c r="Q175" s="411" t="str">
        <f t="shared" si="72"/>
        <v/>
      </c>
      <c r="R175" s="313"/>
      <c r="S175" s="314"/>
      <c r="T175" s="215" t="str">
        <f t="shared" si="73"/>
        <v/>
      </c>
      <c r="U175" s="216" t="str">
        <f t="shared" si="74"/>
        <v/>
      </c>
      <c r="V175" s="216" t="str">
        <f t="shared" si="75"/>
        <v/>
      </c>
      <c r="W175" s="216" t="str">
        <f t="shared" si="76"/>
        <v/>
      </c>
      <c r="X175" s="216" t="str">
        <f t="shared" si="77"/>
        <v/>
      </c>
      <c r="Y175" s="216" t="str">
        <f t="shared" si="78"/>
        <v/>
      </c>
      <c r="Z175" s="216" t="str">
        <f t="shared" si="79"/>
        <v/>
      </c>
      <c r="AA175" s="216" t="str">
        <f t="shared" si="80"/>
        <v/>
      </c>
      <c r="AB175" s="217" t="str">
        <f t="shared" si="81"/>
        <v/>
      </c>
      <c r="AC175" s="218" t="str">
        <f t="shared" si="82"/>
        <v/>
      </c>
      <c r="AD175" s="317"/>
    </row>
    <row r="176" spans="2:30" x14ac:dyDescent="0.35">
      <c r="B176" s="96">
        <v>142</v>
      </c>
      <c r="C176" s="304"/>
      <c r="D176" s="302"/>
      <c r="E176" s="302"/>
      <c r="F176" s="644"/>
      <c r="G176" s="645"/>
      <c r="H176" s="408" t="str">
        <f t="shared" si="83"/>
        <v/>
      </c>
      <c r="I176" s="408" t="str">
        <f t="shared" si="84"/>
        <v/>
      </c>
      <c r="J176" s="311"/>
      <c r="K176" s="409" t="str">
        <f t="shared" si="68"/>
        <v/>
      </c>
      <c r="L176" s="406" t="str">
        <f t="shared" si="69"/>
        <v/>
      </c>
      <c r="M176" s="407" t="str">
        <f t="shared" si="70"/>
        <v/>
      </c>
      <c r="N176" s="312"/>
      <c r="O176" s="302"/>
      <c r="P176" s="411" t="str">
        <f t="shared" si="71"/>
        <v/>
      </c>
      <c r="Q176" s="411" t="str">
        <f t="shared" si="72"/>
        <v/>
      </c>
      <c r="R176" s="313"/>
      <c r="S176" s="314"/>
      <c r="T176" s="215" t="str">
        <f t="shared" si="73"/>
        <v/>
      </c>
      <c r="U176" s="216" t="str">
        <f t="shared" si="74"/>
        <v/>
      </c>
      <c r="V176" s="216" t="str">
        <f t="shared" si="75"/>
        <v/>
      </c>
      <c r="W176" s="216" t="str">
        <f t="shared" si="76"/>
        <v/>
      </c>
      <c r="X176" s="216" t="str">
        <f t="shared" si="77"/>
        <v/>
      </c>
      <c r="Y176" s="216" t="str">
        <f t="shared" si="78"/>
        <v/>
      </c>
      <c r="Z176" s="216" t="str">
        <f t="shared" si="79"/>
        <v/>
      </c>
      <c r="AA176" s="216" t="str">
        <f t="shared" si="80"/>
        <v/>
      </c>
      <c r="AB176" s="217" t="str">
        <f t="shared" si="81"/>
        <v/>
      </c>
      <c r="AC176" s="218" t="str">
        <f t="shared" si="82"/>
        <v/>
      </c>
      <c r="AD176" s="317"/>
    </row>
    <row r="177" spans="2:30" x14ac:dyDescent="0.35">
      <c r="B177" s="96">
        <v>143</v>
      </c>
      <c r="C177" s="304"/>
      <c r="D177" s="302"/>
      <c r="E177" s="302"/>
      <c r="F177" s="644"/>
      <c r="G177" s="645"/>
      <c r="H177" s="408" t="str">
        <f t="shared" si="83"/>
        <v/>
      </c>
      <c r="I177" s="408" t="str">
        <f t="shared" si="84"/>
        <v/>
      </c>
      <c r="J177" s="311"/>
      <c r="K177" s="409" t="str">
        <f t="shared" si="68"/>
        <v/>
      </c>
      <c r="L177" s="406" t="str">
        <f t="shared" si="69"/>
        <v/>
      </c>
      <c r="M177" s="407" t="str">
        <f t="shared" si="70"/>
        <v/>
      </c>
      <c r="N177" s="312"/>
      <c r="O177" s="302"/>
      <c r="P177" s="411" t="str">
        <f t="shared" si="71"/>
        <v/>
      </c>
      <c r="Q177" s="411" t="str">
        <f t="shared" si="72"/>
        <v/>
      </c>
      <c r="R177" s="313"/>
      <c r="S177" s="314"/>
      <c r="T177" s="215" t="str">
        <f t="shared" si="73"/>
        <v/>
      </c>
      <c r="U177" s="216" t="str">
        <f t="shared" si="74"/>
        <v/>
      </c>
      <c r="V177" s="216" t="str">
        <f t="shared" si="75"/>
        <v/>
      </c>
      <c r="W177" s="216" t="str">
        <f t="shared" si="76"/>
        <v/>
      </c>
      <c r="X177" s="216" t="str">
        <f t="shared" si="77"/>
        <v/>
      </c>
      <c r="Y177" s="216" t="str">
        <f t="shared" si="78"/>
        <v/>
      </c>
      <c r="Z177" s="216" t="str">
        <f t="shared" si="79"/>
        <v/>
      </c>
      <c r="AA177" s="216" t="str">
        <f t="shared" si="80"/>
        <v/>
      </c>
      <c r="AB177" s="217" t="str">
        <f t="shared" si="81"/>
        <v/>
      </c>
      <c r="AC177" s="218" t="str">
        <f t="shared" si="82"/>
        <v/>
      </c>
      <c r="AD177" s="317"/>
    </row>
    <row r="178" spans="2:30" x14ac:dyDescent="0.35">
      <c r="B178" s="96">
        <v>144</v>
      </c>
      <c r="C178" s="304"/>
      <c r="D178" s="302"/>
      <c r="E178" s="302"/>
      <c r="F178" s="644"/>
      <c r="G178" s="645"/>
      <c r="H178" s="408" t="str">
        <f t="shared" si="83"/>
        <v/>
      </c>
      <c r="I178" s="408" t="str">
        <f t="shared" si="84"/>
        <v/>
      </c>
      <c r="J178" s="311"/>
      <c r="K178" s="409" t="str">
        <f t="shared" si="68"/>
        <v/>
      </c>
      <c r="L178" s="406" t="str">
        <f t="shared" si="69"/>
        <v/>
      </c>
      <c r="M178" s="407" t="str">
        <f t="shared" si="70"/>
        <v/>
      </c>
      <c r="N178" s="312"/>
      <c r="O178" s="302"/>
      <c r="P178" s="411" t="str">
        <f t="shared" si="71"/>
        <v/>
      </c>
      <c r="Q178" s="411" t="str">
        <f t="shared" si="72"/>
        <v/>
      </c>
      <c r="R178" s="313"/>
      <c r="S178" s="314"/>
      <c r="T178" s="215" t="str">
        <f t="shared" si="73"/>
        <v/>
      </c>
      <c r="U178" s="216" t="str">
        <f t="shared" si="74"/>
        <v/>
      </c>
      <c r="V178" s="216" t="str">
        <f t="shared" si="75"/>
        <v/>
      </c>
      <c r="W178" s="216" t="str">
        <f t="shared" si="76"/>
        <v/>
      </c>
      <c r="X178" s="216" t="str">
        <f t="shared" si="77"/>
        <v/>
      </c>
      <c r="Y178" s="216" t="str">
        <f t="shared" si="78"/>
        <v/>
      </c>
      <c r="Z178" s="216" t="str">
        <f t="shared" si="79"/>
        <v/>
      </c>
      <c r="AA178" s="216" t="str">
        <f t="shared" si="80"/>
        <v/>
      </c>
      <c r="AB178" s="217" t="str">
        <f t="shared" si="81"/>
        <v/>
      </c>
      <c r="AC178" s="218" t="str">
        <f t="shared" si="82"/>
        <v/>
      </c>
      <c r="AD178" s="317"/>
    </row>
    <row r="179" spans="2:30" x14ac:dyDescent="0.35">
      <c r="B179" s="96">
        <v>145</v>
      </c>
      <c r="C179" s="304"/>
      <c r="D179" s="302"/>
      <c r="E179" s="302"/>
      <c r="F179" s="644"/>
      <c r="G179" s="645"/>
      <c r="H179" s="408" t="str">
        <f t="shared" si="83"/>
        <v/>
      </c>
      <c r="I179" s="408" t="str">
        <f t="shared" si="84"/>
        <v/>
      </c>
      <c r="J179" s="311"/>
      <c r="K179" s="409" t="str">
        <f t="shared" si="68"/>
        <v/>
      </c>
      <c r="L179" s="406" t="str">
        <f t="shared" si="69"/>
        <v/>
      </c>
      <c r="M179" s="407" t="str">
        <f t="shared" si="70"/>
        <v/>
      </c>
      <c r="N179" s="312"/>
      <c r="O179" s="302"/>
      <c r="P179" s="411" t="str">
        <f t="shared" si="71"/>
        <v/>
      </c>
      <c r="Q179" s="411" t="str">
        <f t="shared" si="72"/>
        <v/>
      </c>
      <c r="R179" s="313"/>
      <c r="S179" s="314"/>
      <c r="T179" s="215" t="str">
        <f t="shared" si="73"/>
        <v/>
      </c>
      <c r="U179" s="216" t="str">
        <f t="shared" si="74"/>
        <v/>
      </c>
      <c r="V179" s="216" t="str">
        <f t="shared" si="75"/>
        <v/>
      </c>
      <c r="W179" s="216" t="str">
        <f t="shared" si="76"/>
        <v/>
      </c>
      <c r="X179" s="216" t="str">
        <f t="shared" si="77"/>
        <v/>
      </c>
      <c r="Y179" s="216" t="str">
        <f t="shared" si="78"/>
        <v/>
      </c>
      <c r="Z179" s="216" t="str">
        <f t="shared" si="79"/>
        <v/>
      </c>
      <c r="AA179" s="216" t="str">
        <f t="shared" si="80"/>
        <v/>
      </c>
      <c r="AB179" s="217" t="str">
        <f t="shared" si="81"/>
        <v/>
      </c>
      <c r="AC179" s="218" t="str">
        <f t="shared" si="82"/>
        <v/>
      </c>
      <c r="AD179" s="317"/>
    </row>
    <row r="180" spans="2:30" x14ac:dyDescent="0.35">
      <c r="B180" s="96">
        <v>146</v>
      </c>
      <c r="C180" s="304"/>
      <c r="D180" s="302"/>
      <c r="E180" s="302"/>
      <c r="F180" s="644"/>
      <c r="G180" s="645"/>
      <c r="H180" s="408" t="str">
        <f t="shared" si="83"/>
        <v/>
      </c>
      <c r="I180" s="408" t="str">
        <f t="shared" si="84"/>
        <v/>
      </c>
      <c r="J180" s="311"/>
      <c r="K180" s="409" t="str">
        <f t="shared" si="68"/>
        <v/>
      </c>
      <c r="L180" s="406" t="str">
        <f t="shared" si="69"/>
        <v/>
      </c>
      <c r="M180" s="407" t="str">
        <f t="shared" si="70"/>
        <v/>
      </c>
      <c r="N180" s="312"/>
      <c r="O180" s="302"/>
      <c r="P180" s="411" t="str">
        <f t="shared" si="71"/>
        <v/>
      </c>
      <c r="Q180" s="411" t="str">
        <f t="shared" si="72"/>
        <v/>
      </c>
      <c r="R180" s="313"/>
      <c r="S180" s="314"/>
      <c r="T180" s="215" t="str">
        <f t="shared" si="73"/>
        <v/>
      </c>
      <c r="U180" s="216" t="str">
        <f t="shared" si="74"/>
        <v/>
      </c>
      <c r="V180" s="216" t="str">
        <f t="shared" si="75"/>
        <v/>
      </c>
      <c r="W180" s="216" t="str">
        <f t="shared" si="76"/>
        <v/>
      </c>
      <c r="X180" s="216" t="str">
        <f t="shared" si="77"/>
        <v/>
      </c>
      <c r="Y180" s="216" t="str">
        <f t="shared" si="78"/>
        <v/>
      </c>
      <c r="Z180" s="216" t="str">
        <f t="shared" si="79"/>
        <v/>
      </c>
      <c r="AA180" s="216" t="str">
        <f t="shared" si="80"/>
        <v/>
      </c>
      <c r="AB180" s="217" t="str">
        <f t="shared" si="81"/>
        <v/>
      </c>
      <c r="AC180" s="218" t="str">
        <f t="shared" si="82"/>
        <v/>
      </c>
      <c r="AD180" s="317"/>
    </row>
    <row r="181" spans="2:30" x14ac:dyDescent="0.35">
      <c r="B181" s="96">
        <v>147</v>
      </c>
      <c r="C181" s="304"/>
      <c r="D181" s="302"/>
      <c r="E181" s="302"/>
      <c r="F181" s="644"/>
      <c r="G181" s="645"/>
      <c r="H181" s="408" t="str">
        <f t="shared" si="83"/>
        <v/>
      </c>
      <c r="I181" s="408" t="str">
        <f t="shared" si="84"/>
        <v/>
      </c>
      <c r="J181" s="311"/>
      <c r="K181" s="409" t="str">
        <f t="shared" si="68"/>
        <v/>
      </c>
      <c r="L181" s="406" t="str">
        <f t="shared" si="69"/>
        <v/>
      </c>
      <c r="M181" s="407" t="str">
        <f t="shared" si="70"/>
        <v/>
      </c>
      <c r="N181" s="312"/>
      <c r="O181" s="302"/>
      <c r="P181" s="411" t="str">
        <f t="shared" si="71"/>
        <v/>
      </c>
      <c r="Q181" s="411" t="str">
        <f t="shared" si="72"/>
        <v/>
      </c>
      <c r="R181" s="313"/>
      <c r="S181" s="314"/>
      <c r="T181" s="215" t="str">
        <f t="shared" si="73"/>
        <v/>
      </c>
      <c r="U181" s="216" t="str">
        <f t="shared" si="74"/>
        <v/>
      </c>
      <c r="V181" s="216" t="str">
        <f t="shared" si="75"/>
        <v/>
      </c>
      <c r="W181" s="216" t="str">
        <f t="shared" si="76"/>
        <v/>
      </c>
      <c r="X181" s="216" t="str">
        <f t="shared" si="77"/>
        <v/>
      </c>
      <c r="Y181" s="216" t="str">
        <f t="shared" si="78"/>
        <v/>
      </c>
      <c r="Z181" s="216" t="str">
        <f t="shared" si="79"/>
        <v/>
      </c>
      <c r="AA181" s="216" t="str">
        <f t="shared" si="80"/>
        <v/>
      </c>
      <c r="AB181" s="217" t="str">
        <f t="shared" si="81"/>
        <v/>
      </c>
      <c r="AC181" s="218" t="str">
        <f t="shared" si="82"/>
        <v/>
      </c>
      <c r="AD181" s="317"/>
    </row>
    <row r="182" spans="2:30" x14ac:dyDescent="0.35">
      <c r="B182" s="96">
        <v>148</v>
      </c>
      <c r="C182" s="304"/>
      <c r="D182" s="302"/>
      <c r="E182" s="302"/>
      <c r="F182" s="644"/>
      <c r="G182" s="645"/>
      <c r="H182" s="408" t="str">
        <f t="shared" si="83"/>
        <v/>
      </c>
      <c r="I182" s="408" t="str">
        <f t="shared" si="84"/>
        <v/>
      </c>
      <c r="J182" s="311"/>
      <c r="K182" s="409" t="str">
        <f t="shared" si="68"/>
        <v/>
      </c>
      <c r="L182" s="406" t="str">
        <f t="shared" si="69"/>
        <v/>
      </c>
      <c r="M182" s="407" t="str">
        <f t="shared" si="70"/>
        <v/>
      </c>
      <c r="N182" s="312"/>
      <c r="O182" s="302"/>
      <c r="P182" s="411" t="str">
        <f t="shared" si="71"/>
        <v/>
      </c>
      <c r="Q182" s="411" t="str">
        <f t="shared" si="72"/>
        <v/>
      </c>
      <c r="R182" s="313"/>
      <c r="S182" s="314"/>
      <c r="T182" s="215" t="str">
        <f t="shared" si="73"/>
        <v/>
      </c>
      <c r="U182" s="216" t="str">
        <f t="shared" si="74"/>
        <v/>
      </c>
      <c r="V182" s="216" t="str">
        <f t="shared" si="75"/>
        <v/>
      </c>
      <c r="W182" s="216" t="str">
        <f t="shared" si="76"/>
        <v/>
      </c>
      <c r="X182" s="216" t="str">
        <f t="shared" si="77"/>
        <v/>
      </c>
      <c r="Y182" s="216" t="str">
        <f t="shared" si="78"/>
        <v/>
      </c>
      <c r="Z182" s="216" t="str">
        <f t="shared" si="79"/>
        <v/>
      </c>
      <c r="AA182" s="216" t="str">
        <f t="shared" si="80"/>
        <v/>
      </c>
      <c r="AB182" s="217" t="str">
        <f t="shared" si="81"/>
        <v/>
      </c>
      <c r="AC182" s="218" t="str">
        <f t="shared" si="82"/>
        <v/>
      </c>
      <c r="AD182" s="317"/>
    </row>
    <row r="183" spans="2:30" x14ac:dyDescent="0.35">
      <c r="B183" s="96">
        <v>149</v>
      </c>
      <c r="C183" s="304"/>
      <c r="D183" s="302"/>
      <c r="E183" s="302"/>
      <c r="F183" s="644"/>
      <c r="G183" s="645"/>
      <c r="H183" s="408" t="str">
        <f t="shared" si="83"/>
        <v/>
      </c>
      <c r="I183" s="408" t="str">
        <f t="shared" si="84"/>
        <v/>
      </c>
      <c r="J183" s="311"/>
      <c r="K183" s="409" t="str">
        <f t="shared" si="68"/>
        <v/>
      </c>
      <c r="L183" s="406" t="str">
        <f t="shared" si="69"/>
        <v/>
      </c>
      <c r="M183" s="407" t="str">
        <f t="shared" si="70"/>
        <v/>
      </c>
      <c r="N183" s="312"/>
      <c r="O183" s="302"/>
      <c r="P183" s="411" t="str">
        <f t="shared" si="71"/>
        <v/>
      </c>
      <c r="Q183" s="411" t="str">
        <f t="shared" si="72"/>
        <v/>
      </c>
      <c r="R183" s="313"/>
      <c r="S183" s="314"/>
      <c r="T183" s="215" t="str">
        <f t="shared" si="73"/>
        <v/>
      </c>
      <c r="U183" s="216" t="str">
        <f t="shared" si="74"/>
        <v/>
      </c>
      <c r="V183" s="216" t="str">
        <f t="shared" si="75"/>
        <v/>
      </c>
      <c r="W183" s="216" t="str">
        <f t="shared" si="76"/>
        <v/>
      </c>
      <c r="X183" s="216" t="str">
        <f t="shared" si="77"/>
        <v/>
      </c>
      <c r="Y183" s="216" t="str">
        <f t="shared" si="78"/>
        <v/>
      </c>
      <c r="Z183" s="216" t="str">
        <f t="shared" si="79"/>
        <v/>
      </c>
      <c r="AA183" s="216" t="str">
        <f t="shared" si="80"/>
        <v/>
      </c>
      <c r="AB183" s="217" t="str">
        <f t="shared" si="81"/>
        <v/>
      </c>
      <c r="AC183" s="218" t="str">
        <f t="shared" si="82"/>
        <v/>
      </c>
      <c r="AD183" s="317"/>
    </row>
    <row r="184" spans="2:30" x14ac:dyDescent="0.35">
      <c r="B184" s="96">
        <v>150</v>
      </c>
      <c r="C184" s="304"/>
      <c r="D184" s="302"/>
      <c r="E184" s="302"/>
      <c r="F184" s="644"/>
      <c r="G184" s="645"/>
      <c r="H184" s="408" t="str">
        <f t="shared" si="83"/>
        <v/>
      </c>
      <c r="I184" s="408" t="str">
        <f t="shared" si="84"/>
        <v/>
      </c>
      <c r="J184" s="311"/>
      <c r="K184" s="409" t="str">
        <f t="shared" si="68"/>
        <v/>
      </c>
      <c r="L184" s="406" t="str">
        <f t="shared" si="69"/>
        <v/>
      </c>
      <c r="M184" s="407" t="str">
        <f t="shared" si="70"/>
        <v/>
      </c>
      <c r="N184" s="312"/>
      <c r="O184" s="302"/>
      <c r="P184" s="411" t="str">
        <f t="shared" si="71"/>
        <v/>
      </c>
      <c r="Q184" s="411" t="str">
        <f t="shared" si="72"/>
        <v/>
      </c>
      <c r="R184" s="313"/>
      <c r="S184" s="314"/>
      <c r="T184" s="215" t="str">
        <f t="shared" si="73"/>
        <v/>
      </c>
      <c r="U184" s="216" t="str">
        <f t="shared" si="74"/>
        <v/>
      </c>
      <c r="V184" s="216" t="str">
        <f t="shared" si="75"/>
        <v/>
      </c>
      <c r="W184" s="216" t="str">
        <f t="shared" si="76"/>
        <v/>
      </c>
      <c r="X184" s="216" t="str">
        <f t="shared" si="77"/>
        <v/>
      </c>
      <c r="Y184" s="216" t="str">
        <f t="shared" si="78"/>
        <v/>
      </c>
      <c r="Z184" s="216" t="str">
        <f t="shared" si="79"/>
        <v/>
      </c>
      <c r="AA184" s="216" t="str">
        <f t="shared" si="80"/>
        <v/>
      </c>
      <c r="AB184" s="217" t="str">
        <f t="shared" si="81"/>
        <v/>
      </c>
      <c r="AC184" s="218" t="str">
        <f t="shared" si="82"/>
        <v/>
      </c>
      <c r="AD184" s="317"/>
    </row>
    <row r="185" spans="2:30" x14ac:dyDescent="0.35">
      <c r="B185" s="96">
        <v>151</v>
      </c>
      <c r="C185" s="304"/>
      <c r="D185" s="302"/>
      <c r="E185" s="302"/>
      <c r="F185" s="644"/>
      <c r="G185" s="645"/>
      <c r="H185" s="408" t="str">
        <f t="shared" si="83"/>
        <v/>
      </c>
      <c r="I185" s="408" t="str">
        <f t="shared" si="84"/>
        <v/>
      </c>
      <c r="J185" s="311"/>
      <c r="K185" s="409" t="str">
        <f t="shared" si="68"/>
        <v/>
      </c>
      <c r="L185" s="406" t="str">
        <f t="shared" si="69"/>
        <v/>
      </c>
      <c r="M185" s="407" t="str">
        <f t="shared" si="70"/>
        <v/>
      </c>
      <c r="N185" s="312"/>
      <c r="O185" s="302"/>
      <c r="P185" s="411" t="str">
        <f t="shared" si="71"/>
        <v/>
      </c>
      <c r="Q185" s="411" t="str">
        <f t="shared" si="72"/>
        <v/>
      </c>
      <c r="R185" s="313"/>
      <c r="S185" s="314"/>
      <c r="T185" s="215" t="str">
        <f t="shared" si="73"/>
        <v/>
      </c>
      <c r="U185" s="216" t="str">
        <f t="shared" si="74"/>
        <v/>
      </c>
      <c r="V185" s="216" t="str">
        <f t="shared" si="75"/>
        <v/>
      </c>
      <c r="W185" s="216" t="str">
        <f t="shared" si="76"/>
        <v/>
      </c>
      <c r="X185" s="216" t="str">
        <f t="shared" si="77"/>
        <v/>
      </c>
      <c r="Y185" s="216" t="str">
        <f t="shared" si="78"/>
        <v/>
      </c>
      <c r="Z185" s="216" t="str">
        <f t="shared" si="79"/>
        <v/>
      </c>
      <c r="AA185" s="216" t="str">
        <f t="shared" si="80"/>
        <v/>
      </c>
      <c r="AB185" s="217" t="str">
        <f t="shared" si="81"/>
        <v/>
      </c>
      <c r="AC185" s="218" t="str">
        <f t="shared" si="82"/>
        <v/>
      </c>
      <c r="AD185" s="317"/>
    </row>
    <row r="186" spans="2:30" x14ac:dyDescent="0.35">
      <c r="B186" s="96">
        <v>152</v>
      </c>
      <c r="C186" s="304"/>
      <c r="D186" s="302"/>
      <c r="E186" s="302"/>
      <c r="F186" s="644"/>
      <c r="G186" s="645"/>
      <c r="H186" s="408" t="str">
        <f t="shared" si="83"/>
        <v/>
      </c>
      <c r="I186" s="408" t="str">
        <f t="shared" si="84"/>
        <v/>
      </c>
      <c r="J186" s="311"/>
      <c r="K186" s="409" t="str">
        <f t="shared" si="68"/>
        <v/>
      </c>
      <c r="L186" s="406" t="str">
        <f t="shared" si="69"/>
        <v/>
      </c>
      <c r="M186" s="407" t="str">
        <f t="shared" si="70"/>
        <v/>
      </c>
      <c r="N186" s="312"/>
      <c r="O186" s="302"/>
      <c r="P186" s="411" t="str">
        <f t="shared" si="71"/>
        <v/>
      </c>
      <c r="Q186" s="411" t="str">
        <f t="shared" si="72"/>
        <v/>
      </c>
      <c r="R186" s="313"/>
      <c r="S186" s="314"/>
      <c r="T186" s="215" t="str">
        <f t="shared" si="73"/>
        <v/>
      </c>
      <c r="U186" s="216" t="str">
        <f t="shared" si="74"/>
        <v/>
      </c>
      <c r="V186" s="216" t="str">
        <f t="shared" si="75"/>
        <v/>
      </c>
      <c r="W186" s="216" t="str">
        <f t="shared" si="76"/>
        <v/>
      </c>
      <c r="X186" s="216" t="str">
        <f t="shared" si="77"/>
        <v/>
      </c>
      <c r="Y186" s="216" t="str">
        <f t="shared" si="78"/>
        <v/>
      </c>
      <c r="Z186" s="216" t="str">
        <f t="shared" si="79"/>
        <v/>
      </c>
      <c r="AA186" s="216" t="str">
        <f t="shared" si="80"/>
        <v/>
      </c>
      <c r="AB186" s="217" t="str">
        <f t="shared" si="81"/>
        <v/>
      </c>
      <c r="AC186" s="218" t="str">
        <f t="shared" si="82"/>
        <v/>
      </c>
      <c r="AD186" s="317"/>
    </row>
    <row r="187" spans="2:30" x14ac:dyDescent="0.35">
      <c r="B187" s="96">
        <v>153</v>
      </c>
      <c r="C187" s="304"/>
      <c r="D187" s="302"/>
      <c r="E187" s="302"/>
      <c r="F187" s="644"/>
      <c r="G187" s="645"/>
      <c r="H187" s="408" t="str">
        <f t="shared" si="83"/>
        <v/>
      </c>
      <c r="I187" s="408" t="str">
        <f t="shared" si="84"/>
        <v/>
      </c>
      <c r="J187" s="311"/>
      <c r="K187" s="409" t="str">
        <f t="shared" si="68"/>
        <v/>
      </c>
      <c r="L187" s="406" t="str">
        <f t="shared" si="69"/>
        <v/>
      </c>
      <c r="M187" s="407" t="str">
        <f t="shared" si="70"/>
        <v/>
      </c>
      <c r="N187" s="312"/>
      <c r="O187" s="302"/>
      <c r="P187" s="411" t="str">
        <f t="shared" si="71"/>
        <v/>
      </c>
      <c r="Q187" s="411" t="str">
        <f t="shared" si="72"/>
        <v/>
      </c>
      <c r="R187" s="313"/>
      <c r="S187" s="314"/>
      <c r="T187" s="215" t="str">
        <f t="shared" si="73"/>
        <v/>
      </c>
      <c r="U187" s="216" t="str">
        <f t="shared" si="74"/>
        <v/>
      </c>
      <c r="V187" s="216" t="str">
        <f t="shared" si="75"/>
        <v/>
      </c>
      <c r="W187" s="216" t="str">
        <f t="shared" si="76"/>
        <v/>
      </c>
      <c r="X187" s="216" t="str">
        <f t="shared" si="77"/>
        <v/>
      </c>
      <c r="Y187" s="216" t="str">
        <f t="shared" si="78"/>
        <v/>
      </c>
      <c r="Z187" s="216" t="str">
        <f t="shared" si="79"/>
        <v/>
      </c>
      <c r="AA187" s="216" t="str">
        <f t="shared" si="80"/>
        <v/>
      </c>
      <c r="AB187" s="217" t="str">
        <f t="shared" si="81"/>
        <v/>
      </c>
      <c r="AC187" s="218" t="str">
        <f t="shared" si="82"/>
        <v/>
      </c>
      <c r="AD187" s="317"/>
    </row>
    <row r="188" spans="2:30" x14ac:dyDescent="0.35">
      <c r="B188" s="96">
        <v>154</v>
      </c>
      <c r="C188" s="304"/>
      <c r="D188" s="302"/>
      <c r="E188" s="302"/>
      <c r="F188" s="644"/>
      <c r="G188" s="645"/>
      <c r="H188" s="408" t="str">
        <f t="shared" si="83"/>
        <v/>
      </c>
      <c r="I188" s="408" t="str">
        <f t="shared" si="84"/>
        <v/>
      </c>
      <c r="J188" s="311"/>
      <c r="K188" s="409" t="str">
        <f t="shared" si="68"/>
        <v/>
      </c>
      <c r="L188" s="406" t="str">
        <f t="shared" si="69"/>
        <v/>
      </c>
      <c r="M188" s="407" t="str">
        <f t="shared" si="70"/>
        <v/>
      </c>
      <c r="N188" s="312"/>
      <c r="O188" s="302"/>
      <c r="P188" s="411" t="str">
        <f t="shared" si="71"/>
        <v/>
      </c>
      <c r="Q188" s="411" t="str">
        <f t="shared" si="72"/>
        <v/>
      </c>
      <c r="R188" s="313"/>
      <c r="S188" s="314"/>
      <c r="T188" s="215" t="str">
        <f t="shared" si="73"/>
        <v/>
      </c>
      <c r="U188" s="216" t="str">
        <f t="shared" si="74"/>
        <v/>
      </c>
      <c r="V188" s="216" t="str">
        <f t="shared" si="75"/>
        <v/>
      </c>
      <c r="W188" s="216" t="str">
        <f t="shared" si="76"/>
        <v/>
      </c>
      <c r="X188" s="216" t="str">
        <f t="shared" si="77"/>
        <v/>
      </c>
      <c r="Y188" s="216" t="str">
        <f t="shared" si="78"/>
        <v/>
      </c>
      <c r="Z188" s="216" t="str">
        <f t="shared" si="79"/>
        <v/>
      </c>
      <c r="AA188" s="216" t="str">
        <f t="shared" si="80"/>
        <v/>
      </c>
      <c r="AB188" s="217" t="str">
        <f t="shared" si="81"/>
        <v/>
      </c>
      <c r="AC188" s="218" t="str">
        <f t="shared" si="82"/>
        <v/>
      </c>
      <c r="AD188" s="317"/>
    </row>
    <row r="189" spans="2:30" x14ac:dyDescent="0.35">
      <c r="B189" s="96">
        <v>155</v>
      </c>
      <c r="C189" s="304"/>
      <c r="D189" s="302"/>
      <c r="E189" s="302"/>
      <c r="F189" s="644"/>
      <c r="G189" s="645"/>
      <c r="H189" s="408" t="str">
        <f t="shared" si="83"/>
        <v/>
      </c>
      <c r="I189" s="408" t="str">
        <f t="shared" si="84"/>
        <v/>
      </c>
      <c r="J189" s="311"/>
      <c r="K189" s="409" t="str">
        <f t="shared" si="68"/>
        <v/>
      </c>
      <c r="L189" s="406" t="str">
        <f t="shared" si="69"/>
        <v/>
      </c>
      <c r="M189" s="407" t="str">
        <f t="shared" si="70"/>
        <v/>
      </c>
      <c r="N189" s="312"/>
      <c r="O189" s="302"/>
      <c r="P189" s="411" t="str">
        <f t="shared" si="71"/>
        <v/>
      </c>
      <c r="Q189" s="411" t="str">
        <f t="shared" si="72"/>
        <v/>
      </c>
      <c r="R189" s="313"/>
      <c r="S189" s="314"/>
      <c r="T189" s="215" t="str">
        <f t="shared" si="73"/>
        <v/>
      </c>
      <c r="U189" s="216" t="str">
        <f t="shared" si="74"/>
        <v/>
      </c>
      <c r="V189" s="216" t="str">
        <f t="shared" si="75"/>
        <v/>
      </c>
      <c r="W189" s="216" t="str">
        <f t="shared" si="76"/>
        <v/>
      </c>
      <c r="X189" s="216" t="str">
        <f t="shared" si="77"/>
        <v/>
      </c>
      <c r="Y189" s="216" t="str">
        <f t="shared" si="78"/>
        <v/>
      </c>
      <c r="Z189" s="216" t="str">
        <f t="shared" si="79"/>
        <v/>
      </c>
      <c r="AA189" s="216" t="str">
        <f t="shared" si="80"/>
        <v/>
      </c>
      <c r="AB189" s="217" t="str">
        <f t="shared" si="81"/>
        <v/>
      </c>
      <c r="AC189" s="218" t="str">
        <f t="shared" si="82"/>
        <v/>
      </c>
      <c r="AD189" s="317"/>
    </row>
    <row r="190" spans="2:30" x14ac:dyDescent="0.35">
      <c r="B190" s="96">
        <v>156</v>
      </c>
      <c r="C190" s="304"/>
      <c r="D190" s="302"/>
      <c r="E190" s="302"/>
      <c r="F190" s="644"/>
      <c r="G190" s="645"/>
      <c r="H190" s="408" t="str">
        <f t="shared" si="83"/>
        <v/>
      </c>
      <c r="I190" s="408" t="str">
        <f t="shared" si="84"/>
        <v/>
      </c>
      <c r="J190" s="311"/>
      <c r="K190" s="409" t="str">
        <f t="shared" si="68"/>
        <v/>
      </c>
      <c r="L190" s="406" t="str">
        <f t="shared" si="69"/>
        <v/>
      </c>
      <c r="M190" s="407" t="str">
        <f t="shared" si="70"/>
        <v/>
      </c>
      <c r="N190" s="312"/>
      <c r="O190" s="302"/>
      <c r="P190" s="411" t="str">
        <f t="shared" si="71"/>
        <v/>
      </c>
      <c r="Q190" s="411" t="str">
        <f t="shared" si="72"/>
        <v/>
      </c>
      <c r="R190" s="313"/>
      <c r="S190" s="314"/>
      <c r="T190" s="215" t="str">
        <f t="shared" si="73"/>
        <v/>
      </c>
      <c r="U190" s="216" t="str">
        <f t="shared" si="74"/>
        <v/>
      </c>
      <c r="V190" s="216" t="str">
        <f t="shared" si="75"/>
        <v/>
      </c>
      <c r="W190" s="216" t="str">
        <f t="shared" si="76"/>
        <v/>
      </c>
      <c r="X190" s="216" t="str">
        <f t="shared" si="77"/>
        <v/>
      </c>
      <c r="Y190" s="216" t="str">
        <f t="shared" si="78"/>
        <v/>
      </c>
      <c r="Z190" s="216" t="str">
        <f t="shared" si="79"/>
        <v/>
      </c>
      <c r="AA190" s="216" t="str">
        <f t="shared" si="80"/>
        <v/>
      </c>
      <c r="AB190" s="217" t="str">
        <f t="shared" si="81"/>
        <v/>
      </c>
      <c r="AC190" s="218" t="str">
        <f t="shared" si="82"/>
        <v/>
      </c>
      <c r="AD190" s="317"/>
    </row>
    <row r="191" spans="2:30" x14ac:dyDescent="0.35">
      <c r="B191" s="96">
        <v>157</v>
      </c>
      <c r="C191" s="304"/>
      <c r="D191" s="302"/>
      <c r="E191" s="302"/>
      <c r="F191" s="644"/>
      <c r="G191" s="645"/>
      <c r="H191" s="408" t="str">
        <f t="shared" si="83"/>
        <v/>
      </c>
      <c r="I191" s="408" t="str">
        <f t="shared" si="84"/>
        <v/>
      </c>
      <c r="J191" s="311"/>
      <c r="K191" s="409" t="str">
        <f t="shared" si="68"/>
        <v/>
      </c>
      <c r="L191" s="406" t="str">
        <f t="shared" si="69"/>
        <v/>
      </c>
      <c r="M191" s="407" t="str">
        <f t="shared" si="70"/>
        <v/>
      </c>
      <c r="N191" s="312"/>
      <c r="O191" s="302"/>
      <c r="P191" s="411" t="str">
        <f t="shared" si="71"/>
        <v/>
      </c>
      <c r="Q191" s="411" t="str">
        <f t="shared" si="72"/>
        <v/>
      </c>
      <c r="R191" s="313"/>
      <c r="S191" s="314"/>
      <c r="T191" s="215" t="str">
        <f t="shared" si="73"/>
        <v/>
      </c>
      <c r="U191" s="216" t="str">
        <f t="shared" si="74"/>
        <v/>
      </c>
      <c r="V191" s="216" t="str">
        <f t="shared" si="75"/>
        <v/>
      </c>
      <c r="W191" s="216" t="str">
        <f t="shared" si="76"/>
        <v/>
      </c>
      <c r="X191" s="216" t="str">
        <f t="shared" si="77"/>
        <v/>
      </c>
      <c r="Y191" s="216" t="str">
        <f t="shared" si="78"/>
        <v/>
      </c>
      <c r="Z191" s="216" t="str">
        <f t="shared" si="79"/>
        <v/>
      </c>
      <c r="AA191" s="216" t="str">
        <f t="shared" si="80"/>
        <v/>
      </c>
      <c r="AB191" s="217" t="str">
        <f t="shared" si="81"/>
        <v/>
      </c>
      <c r="AC191" s="218" t="str">
        <f t="shared" si="82"/>
        <v/>
      </c>
      <c r="AD191" s="317"/>
    </row>
    <row r="192" spans="2:30" x14ac:dyDescent="0.35">
      <c r="B192" s="96">
        <v>158</v>
      </c>
      <c r="C192" s="304"/>
      <c r="D192" s="302"/>
      <c r="E192" s="302"/>
      <c r="F192" s="644"/>
      <c r="G192" s="645"/>
      <c r="H192" s="408" t="str">
        <f t="shared" si="83"/>
        <v/>
      </c>
      <c r="I192" s="408" t="str">
        <f t="shared" si="84"/>
        <v/>
      </c>
      <c r="J192" s="311"/>
      <c r="K192" s="409" t="str">
        <f t="shared" si="68"/>
        <v/>
      </c>
      <c r="L192" s="406" t="str">
        <f t="shared" si="69"/>
        <v/>
      </c>
      <c r="M192" s="407" t="str">
        <f t="shared" si="70"/>
        <v/>
      </c>
      <c r="N192" s="312"/>
      <c r="O192" s="302"/>
      <c r="P192" s="411" t="str">
        <f t="shared" si="71"/>
        <v/>
      </c>
      <c r="Q192" s="411" t="str">
        <f t="shared" si="72"/>
        <v/>
      </c>
      <c r="R192" s="313"/>
      <c r="S192" s="314"/>
      <c r="T192" s="215" t="str">
        <f t="shared" si="73"/>
        <v/>
      </c>
      <c r="U192" s="216" t="str">
        <f t="shared" si="74"/>
        <v/>
      </c>
      <c r="V192" s="216" t="str">
        <f t="shared" si="75"/>
        <v/>
      </c>
      <c r="W192" s="216" t="str">
        <f t="shared" si="76"/>
        <v/>
      </c>
      <c r="X192" s="216" t="str">
        <f t="shared" si="77"/>
        <v/>
      </c>
      <c r="Y192" s="216" t="str">
        <f t="shared" si="78"/>
        <v/>
      </c>
      <c r="Z192" s="216" t="str">
        <f t="shared" si="79"/>
        <v/>
      </c>
      <c r="AA192" s="216" t="str">
        <f t="shared" si="80"/>
        <v/>
      </c>
      <c r="AB192" s="217" t="str">
        <f t="shared" si="81"/>
        <v/>
      </c>
      <c r="AC192" s="218" t="str">
        <f t="shared" si="82"/>
        <v/>
      </c>
      <c r="AD192" s="317"/>
    </row>
    <row r="193" spans="2:30" x14ac:dyDescent="0.35">
      <c r="B193" s="96">
        <v>159</v>
      </c>
      <c r="C193" s="304"/>
      <c r="D193" s="302"/>
      <c r="E193" s="302"/>
      <c r="F193" s="644"/>
      <c r="G193" s="645"/>
      <c r="H193" s="408" t="str">
        <f t="shared" si="83"/>
        <v/>
      </c>
      <c r="I193" s="408" t="str">
        <f t="shared" si="84"/>
        <v/>
      </c>
      <c r="J193" s="311"/>
      <c r="K193" s="409" t="str">
        <f t="shared" si="68"/>
        <v/>
      </c>
      <c r="L193" s="406" t="str">
        <f t="shared" si="69"/>
        <v/>
      </c>
      <c r="M193" s="407" t="str">
        <f t="shared" si="70"/>
        <v/>
      </c>
      <c r="N193" s="312"/>
      <c r="O193" s="302"/>
      <c r="P193" s="411" t="str">
        <f t="shared" si="71"/>
        <v/>
      </c>
      <c r="Q193" s="411" t="str">
        <f t="shared" si="72"/>
        <v/>
      </c>
      <c r="R193" s="313"/>
      <c r="S193" s="314"/>
      <c r="T193" s="215" t="str">
        <f t="shared" si="73"/>
        <v/>
      </c>
      <c r="U193" s="216" t="str">
        <f t="shared" si="74"/>
        <v/>
      </c>
      <c r="V193" s="216" t="str">
        <f t="shared" si="75"/>
        <v/>
      </c>
      <c r="W193" s="216" t="str">
        <f t="shared" si="76"/>
        <v/>
      </c>
      <c r="X193" s="216" t="str">
        <f t="shared" si="77"/>
        <v/>
      </c>
      <c r="Y193" s="216" t="str">
        <f t="shared" si="78"/>
        <v/>
      </c>
      <c r="Z193" s="216" t="str">
        <f t="shared" si="79"/>
        <v/>
      </c>
      <c r="AA193" s="216" t="str">
        <f t="shared" si="80"/>
        <v/>
      </c>
      <c r="AB193" s="217" t="str">
        <f t="shared" si="81"/>
        <v/>
      </c>
      <c r="AC193" s="218" t="str">
        <f t="shared" si="82"/>
        <v/>
      </c>
      <c r="AD193" s="317"/>
    </row>
    <row r="194" spans="2:30" x14ac:dyDescent="0.35">
      <c r="B194" s="96">
        <v>160</v>
      </c>
      <c r="C194" s="304"/>
      <c r="D194" s="302"/>
      <c r="E194" s="302"/>
      <c r="F194" s="644"/>
      <c r="G194" s="645"/>
      <c r="H194" s="408" t="str">
        <f t="shared" si="83"/>
        <v/>
      </c>
      <c r="I194" s="408" t="str">
        <f t="shared" si="84"/>
        <v/>
      </c>
      <c r="J194" s="311"/>
      <c r="K194" s="409" t="str">
        <f t="shared" si="68"/>
        <v/>
      </c>
      <c r="L194" s="406" t="str">
        <f t="shared" si="69"/>
        <v/>
      </c>
      <c r="M194" s="407" t="str">
        <f t="shared" si="70"/>
        <v/>
      </c>
      <c r="N194" s="312"/>
      <c r="O194" s="302"/>
      <c r="P194" s="411" t="str">
        <f t="shared" si="71"/>
        <v/>
      </c>
      <c r="Q194" s="411" t="str">
        <f t="shared" si="72"/>
        <v/>
      </c>
      <c r="R194" s="313"/>
      <c r="S194" s="314"/>
      <c r="T194" s="215" t="str">
        <f t="shared" si="73"/>
        <v/>
      </c>
      <c r="U194" s="216" t="str">
        <f t="shared" si="74"/>
        <v/>
      </c>
      <c r="V194" s="216" t="str">
        <f t="shared" si="75"/>
        <v/>
      </c>
      <c r="W194" s="216" t="str">
        <f t="shared" si="76"/>
        <v/>
      </c>
      <c r="X194" s="216" t="str">
        <f t="shared" si="77"/>
        <v/>
      </c>
      <c r="Y194" s="216" t="str">
        <f t="shared" si="78"/>
        <v/>
      </c>
      <c r="Z194" s="216" t="str">
        <f t="shared" si="79"/>
        <v/>
      </c>
      <c r="AA194" s="216" t="str">
        <f t="shared" si="80"/>
        <v/>
      </c>
      <c r="AB194" s="217" t="str">
        <f t="shared" si="81"/>
        <v/>
      </c>
      <c r="AC194" s="218" t="str">
        <f t="shared" si="82"/>
        <v/>
      </c>
      <c r="AD194" s="317"/>
    </row>
    <row r="195" spans="2:30" x14ac:dyDescent="0.35">
      <c r="B195" s="96">
        <v>161</v>
      </c>
      <c r="C195" s="304"/>
      <c r="D195" s="302"/>
      <c r="E195" s="302"/>
      <c r="F195" s="644"/>
      <c r="G195" s="645"/>
      <c r="H195" s="408" t="str">
        <f t="shared" si="83"/>
        <v/>
      </c>
      <c r="I195" s="408" t="str">
        <f t="shared" si="84"/>
        <v/>
      </c>
      <c r="J195" s="311"/>
      <c r="K195" s="409" t="str">
        <f t="shared" ref="K195:K226" si="85">IFERROR(IF(IntExt="Interior",sqft,VLOOKUP(SpaceType,ExteriorTable,9,FALSE)),"")</f>
        <v/>
      </c>
      <c r="L195" s="406" t="str">
        <f t="shared" ref="L195:L226" si="86">IF(ISBLANK(SpaceType),"",(IF(IntExt="Interior",VLOOKUP(SpaceType,InteriorTable,5,FALSE),IF(IntExt="Exterior",VLOOKUP(SpaceType,ExteriorTable,LightingZone+2,FALSE),"ERROR"))))</f>
        <v/>
      </c>
      <c r="M195" s="407" t="str">
        <f t="shared" ref="M195:M226" si="87">IFERROR(LPDb*AreaSize/1000,"")</f>
        <v/>
      </c>
      <c r="N195" s="312"/>
      <c r="O195" s="302"/>
      <c r="P195" s="411" t="str">
        <f t="shared" ref="P195:P226" si="88">IFERROR(VLOOKUP(FixtureNum,FixtureTable,5,FALSE),"")</f>
        <v/>
      </c>
      <c r="Q195" s="411" t="str">
        <f t="shared" ref="Q195:Q226" si="89">IFERROR(WperFixture*ProposedQty/1000,"")</f>
        <v/>
      </c>
      <c r="R195" s="313"/>
      <c r="S195" s="314"/>
      <c r="T195" s="215" t="str">
        <f t="shared" ref="T195:T226" si="90">IFERROR(IF(IntExt="Interior",kWbase-kWee,""),"")</f>
        <v/>
      </c>
      <c r="U195" s="216" t="str">
        <f t="shared" ref="U195:U226" si="91">IFERROR(IF(IntExt="Exterior",kWbase-kWee,""),"")</f>
        <v/>
      </c>
      <c r="V195" s="216" t="str">
        <f t="shared" ref="V195:V226" si="92">IFERROR(IF(IntExt="Exterior",0,VLOOKUP(SpaceType,InteriorTable,2,FALSE)),"")</f>
        <v/>
      </c>
      <c r="W195" s="216" t="str">
        <f t="shared" ref="W195:W226" si="93">IFERROR(IF(OR(IntExt="Exterior",Cooling="Not Cooled"),1,VLOOKUP(SpaceType,InteriorTable,6,FALSE)),"")</f>
        <v/>
      </c>
      <c r="X195" s="216" t="str">
        <f t="shared" ref="X195:X226" si="94">IFERROR(IF(OR(IntExt="Exterior",Cooling="Not Cooled"),1,VLOOKUP(SpaceType,InteriorTable,7,FALSE)),"")</f>
        <v/>
      </c>
      <c r="Y195" s="216" t="str">
        <f t="shared" ref="Y195:Y226" si="95">IF(ISBLANK(IntExt),"",IFERROR(VLOOKUP(SpaceType,ESFtable,2,FALSE), IF(IntExt="Interior",VLOOKUP("Interior|Occupancy",ESFtable,2,FALSE),VLOOKUP("Exterior|Setback",ESFtable,2,FALSE))))</f>
        <v/>
      </c>
      <c r="Z195" s="216" t="str">
        <f t="shared" ref="Z195:Z226" si="96">IFERROR(VLOOKUP(IntExt&amp;"|"&amp;PropControlType,ESFtable,2,FALSE),ESFb)</f>
        <v/>
      </c>
      <c r="AA195" s="216" t="str">
        <f t="shared" ref="AA195:AA226" si="97">IF(IntExt="Interior",VLOOKUP(SpaceType,InteriorTable,3,FALSE),IF(IntExt="Exterior",VLOOKUP(IntExt,InteriorTable,3,FALSE),""))</f>
        <v/>
      </c>
      <c r="AB195" s="217" t="str">
        <f t="shared" ref="AB195:AB226" si="98">IFERROR((kWbase-kWee)*CF*WHFd,"")</f>
        <v/>
      </c>
      <c r="AC195" s="218" t="str">
        <f t="shared" ref="AC195:AC226" si="99">IFERROR(EFLH_deemed*WHFe*(kWbase*(1-ESFb)-kWee*(1-ESFee)),"")</f>
        <v/>
      </c>
      <c r="AD195" s="317"/>
    </row>
    <row r="196" spans="2:30" x14ac:dyDescent="0.35">
      <c r="B196" s="96">
        <v>162</v>
      </c>
      <c r="C196" s="304"/>
      <c r="D196" s="302"/>
      <c r="E196" s="302"/>
      <c r="F196" s="644"/>
      <c r="G196" s="645"/>
      <c r="H196" s="408" t="str">
        <f t="shared" si="83"/>
        <v/>
      </c>
      <c r="I196" s="408" t="str">
        <f t="shared" si="84"/>
        <v/>
      </c>
      <c r="J196" s="311"/>
      <c r="K196" s="409" t="str">
        <f t="shared" si="85"/>
        <v/>
      </c>
      <c r="L196" s="406" t="str">
        <f t="shared" si="86"/>
        <v/>
      </c>
      <c r="M196" s="407" t="str">
        <f t="shared" si="87"/>
        <v/>
      </c>
      <c r="N196" s="312"/>
      <c r="O196" s="302"/>
      <c r="P196" s="411" t="str">
        <f t="shared" si="88"/>
        <v/>
      </c>
      <c r="Q196" s="411" t="str">
        <f t="shared" si="89"/>
        <v/>
      </c>
      <c r="R196" s="313"/>
      <c r="S196" s="314"/>
      <c r="T196" s="215" t="str">
        <f t="shared" si="90"/>
        <v/>
      </c>
      <c r="U196" s="216" t="str">
        <f t="shared" si="91"/>
        <v/>
      </c>
      <c r="V196" s="216" t="str">
        <f t="shared" si="92"/>
        <v/>
      </c>
      <c r="W196" s="216" t="str">
        <f t="shared" si="93"/>
        <v/>
      </c>
      <c r="X196" s="216" t="str">
        <f t="shared" si="94"/>
        <v/>
      </c>
      <c r="Y196" s="216" t="str">
        <f t="shared" si="95"/>
        <v/>
      </c>
      <c r="Z196" s="216" t="str">
        <f t="shared" si="96"/>
        <v/>
      </c>
      <c r="AA196" s="216" t="str">
        <f t="shared" si="97"/>
        <v/>
      </c>
      <c r="AB196" s="217" t="str">
        <f t="shared" si="98"/>
        <v/>
      </c>
      <c r="AC196" s="218" t="str">
        <f t="shared" si="99"/>
        <v/>
      </c>
      <c r="AD196" s="317"/>
    </row>
    <row r="197" spans="2:30" x14ac:dyDescent="0.35">
      <c r="B197" s="96">
        <v>163</v>
      </c>
      <c r="C197" s="304"/>
      <c r="D197" s="302"/>
      <c r="E197" s="302"/>
      <c r="F197" s="644"/>
      <c r="G197" s="645"/>
      <c r="H197" s="408" t="str">
        <f t="shared" si="83"/>
        <v/>
      </c>
      <c r="I197" s="408" t="str">
        <f t="shared" si="84"/>
        <v/>
      </c>
      <c r="J197" s="311"/>
      <c r="K197" s="409" t="str">
        <f t="shared" si="85"/>
        <v/>
      </c>
      <c r="L197" s="406" t="str">
        <f t="shared" si="86"/>
        <v/>
      </c>
      <c r="M197" s="407" t="str">
        <f t="shared" si="87"/>
        <v/>
      </c>
      <c r="N197" s="312"/>
      <c r="O197" s="302"/>
      <c r="P197" s="411" t="str">
        <f t="shared" si="88"/>
        <v/>
      </c>
      <c r="Q197" s="411" t="str">
        <f t="shared" si="89"/>
        <v/>
      </c>
      <c r="R197" s="313"/>
      <c r="S197" s="314"/>
      <c r="T197" s="215" t="str">
        <f t="shared" si="90"/>
        <v/>
      </c>
      <c r="U197" s="216" t="str">
        <f t="shared" si="91"/>
        <v/>
      </c>
      <c r="V197" s="216" t="str">
        <f t="shared" si="92"/>
        <v/>
      </c>
      <c r="W197" s="216" t="str">
        <f t="shared" si="93"/>
        <v/>
      </c>
      <c r="X197" s="216" t="str">
        <f t="shared" si="94"/>
        <v/>
      </c>
      <c r="Y197" s="216" t="str">
        <f t="shared" si="95"/>
        <v/>
      </c>
      <c r="Z197" s="216" t="str">
        <f t="shared" si="96"/>
        <v/>
      </c>
      <c r="AA197" s="216" t="str">
        <f t="shared" si="97"/>
        <v/>
      </c>
      <c r="AB197" s="217" t="str">
        <f t="shared" si="98"/>
        <v/>
      </c>
      <c r="AC197" s="218" t="str">
        <f t="shared" si="99"/>
        <v/>
      </c>
      <c r="AD197" s="317"/>
    </row>
    <row r="198" spans="2:30" x14ac:dyDescent="0.35">
      <c r="B198" s="96">
        <v>164</v>
      </c>
      <c r="C198" s="304"/>
      <c r="D198" s="302"/>
      <c r="E198" s="302"/>
      <c r="F198" s="644"/>
      <c r="G198" s="645"/>
      <c r="H198" s="408" t="str">
        <f t="shared" si="83"/>
        <v/>
      </c>
      <c r="I198" s="408" t="str">
        <f t="shared" si="84"/>
        <v/>
      </c>
      <c r="J198" s="311"/>
      <c r="K198" s="409" t="str">
        <f t="shared" si="85"/>
        <v/>
      </c>
      <c r="L198" s="406" t="str">
        <f t="shared" si="86"/>
        <v/>
      </c>
      <c r="M198" s="407" t="str">
        <f t="shared" si="87"/>
        <v/>
      </c>
      <c r="N198" s="312"/>
      <c r="O198" s="302"/>
      <c r="P198" s="411" t="str">
        <f t="shared" si="88"/>
        <v/>
      </c>
      <c r="Q198" s="411" t="str">
        <f t="shared" si="89"/>
        <v/>
      </c>
      <c r="R198" s="313"/>
      <c r="S198" s="314"/>
      <c r="T198" s="215" t="str">
        <f t="shared" si="90"/>
        <v/>
      </c>
      <c r="U198" s="216" t="str">
        <f t="shared" si="91"/>
        <v/>
      </c>
      <c r="V198" s="216" t="str">
        <f t="shared" si="92"/>
        <v/>
      </c>
      <c r="W198" s="216" t="str">
        <f t="shared" si="93"/>
        <v/>
      </c>
      <c r="X198" s="216" t="str">
        <f t="shared" si="94"/>
        <v/>
      </c>
      <c r="Y198" s="216" t="str">
        <f t="shared" si="95"/>
        <v/>
      </c>
      <c r="Z198" s="216" t="str">
        <f t="shared" si="96"/>
        <v/>
      </c>
      <c r="AA198" s="216" t="str">
        <f t="shared" si="97"/>
        <v/>
      </c>
      <c r="AB198" s="217" t="str">
        <f t="shared" si="98"/>
        <v/>
      </c>
      <c r="AC198" s="218" t="str">
        <f t="shared" si="99"/>
        <v/>
      </c>
      <c r="AD198" s="317"/>
    </row>
    <row r="199" spans="2:30" x14ac:dyDescent="0.35">
      <c r="B199" s="96">
        <v>165</v>
      </c>
      <c r="C199" s="304"/>
      <c r="D199" s="302"/>
      <c r="E199" s="302"/>
      <c r="F199" s="644"/>
      <c r="G199" s="645"/>
      <c r="H199" s="408" t="str">
        <f t="shared" si="83"/>
        <v/>
      </c>
      <c r="I199" s="408" t="str">
        <f t="shared" si="84"/>
        <v/>
      </c>
      <c r="J199" s="311"/>
      <c r="K199" s="409" t="str">
        <f t="shared" si="85"/>
        <v/>
      </c>
      <c r="L199" s="406" t="str">
        <f t="shared" si="86"/>
        <v/>
      </c>
      <c r="M199" s="407" t="str">
        <f t="shared" si="87"/>
        <v/>
      </c>
      <c r="N199" s="312"/>
      <c r="O199" s="302"/>
      <c r="P199" s="411" t="str">
        <f t="shared" si="88"/>
        <v/>
      </c>
      <c r="Q199" s="411" t="str">
        <f t="shared" si="89"/>
        <v/>
      </c>
      <c r="R199" s="313"/>
      <c r="S199" s="314"/>
      <c r="T199" s="215" t="str">
        <f t="shared" si="90"/>
        <v/>
      </c>
      <c r="U199" s="216" t="str">
        <f t="shared" si="91"/>
        <v/>
      </c>
      <c r="V199" s="216" t="str">
        <f t="shared" si="92"/>
        <v/>
      </c>
      <c r="W199" s="216" t="str">
        <f t="shared" si="93"/>
        <v/>
      </c>
      <c r="X199" s="216" t="str">
        <f t="shared" si="94"/>
        <v/>
      </c>
      <c r="Y199" s="216" t="str">
        <f t="shared" si="95"/>
        <v/>
      </c>
      <c r="Z199" s="216" t="str">
        <f t="shared" si="96"/>
        <v/>
      </c>
      <c r="AA199" s="216" t="str">
        <f t="shared" si="97"/>
        <v/>
      </c>
      <c r="AB199" s="217" t="str">
        <f t="shared" si="98"/>
        <v/>
      </c>
      <c r="AC199" s="218" t="str">
        <f t="shared" si="99"/>
        <v/>
      </c>
      <c r="AD199" s="317"/>
    </row>
    <row r="200" spans="2:30" x14ac:dyDescent="0.35">
      <c r="B200" s="96">
        <v>166</v>
      </c>
      <c r="C200" s="304"/>
      <c r="D200" s="302"/>
      <c r="E200" s="302"/>
      <c r="F200" s="644"/>
      <c r="G200" s="645"/>
      <c r="H200" s="408" t="str">
        <f t="shared" si="83"/>
        <v/>
      </c>
      <c r="I200" s="408" t="str">
        <f t="shared" si="84"/>
        <v/>
      </c>
      <c r="J200" s="311"/>
      <c r="K200" s="409" t="str">
        <f t="shared" si="85"/>
        <v/>
      </c>
      <c r="L200" s="406" t="str">
        <f t="shared" si="86"/>
        <v/>
      </c>
      <c r="M200" s="407" t="str">
        <f t="shared" si="87"/>
        <v/>
      </c>
      <c r="N200" s="312"/>
      <c r="O200" s="302"/>
      <c r="P200" s="411" t="str">
        <f t="shared" si="88"/>
        <v/>
      </c>
      <c r="Q200" s="411" t="str">
        <f t="shared" si="89"/>
        <v/>
      </c>
      <c r="R200" s="313"/>
      <c r="S200" s="314"/>
      <c r="T200" s="215" t="str">
        <f t="shared" si="90"/>
        <v/>
      </c>
      <c r="U200" s="216" t="str">
        <f t="shared" si="91"/>
        <v/>
      </c>
      <c r="V200" s="216" t="str">
        <f t="shared" si="92"/>
        <v/>
      </c>
      <c r="W200" s="216" t="str">
        <f t="shared" si="93"/>
        <v/>
      </c>
      <c r="X200" s="216" t="str">
        <f t="shared" si="94"/>
        <v/>
      </c>
      <c r="Y200" s="216" t="str">
        <f t="shared" si="95"/>
        <v/>
      </c>
      <c r="Z200" s="216" t="str">
        <f t="shared" si="96"/>
        <v/>
      </c>
      <c r="AA200" s="216" t="str">
        <f t="shared" si="97"/>
        <v/>
      </c>
      <c r="AB200" s="217" t="str">
        <f t="shared" si="98"/>
        <v/>
      </c>
      <c r="AC200" s="218" t="str">
        <f t="shared" si="99"/>
        <v/>
      </c>
      <c r="AD200" s="317"/>
    </row>
    <row r="201" spans="2:30" x14ac:dyDescent="0.35">
      <c r="B201" s="96">
        <v>167</v>
      </c>
      <c r="C201" s="304"/>
      <c r="D201" s="302"/>
      <c r="E201" s="302"/>
      <c r="F201" s="644"/>
      <c r="G201" s="645"/>
      <c r="H201" s="408" t="str">
        <f t="shared" si="83"/>
        <v/>
      </c>
      <c r="I201" s="408" t="str">
        <f t="shared" si="84"/>
        <v/>
      </c>
      <c r="J201" s="311"/>
      <c r="K201" s="409" t="str">
        <f t="shared" si="85"/>
        <v/>
      </c>
      <c r="L201" s="406" t="str">
        <f t="shared" si="86"/>
        <v/>
      </c>
      <c r="M201" s="407" t="str">
        <f t="shared" si="87"/>
        <v/>
      </c>
      <c r="N201" s="312"/>
      <c r="O201" s="302"/>
      <c r="P201" s="411" t="str">
        <f t="shared" si="88"/>
        <v/>
      </c>
      <c r="Q201" s="411" t="str">
        <f t="shared" si="89"/>
        <v/>
      </c>
      <c r="R201" s="313"/>
      <c r="S201" s="314"/>
      <c r="T201" s="215" t="str">
        <f t="shared" si="90"/>
        <v/>
      </c>
      <c r="U201" s="216" t="str">
        <f t="shared" si="91"/>
        <v/>
      </c>
      <c r="V201" s="216" t="str">
        <f t="shared" si="92"/>
        <v/>
      </c>
      <c r="W201" s="216" t="str">
        <f t="shared" si="93"/>
        <v/>
      </c>
      <c r="X201" s="216" t="str">
        <f t="shared" si="94"/>
        <v/>
      </c>
      <c r="Y201" s="216" t="str">
        <f t="shared" si="95"/>
        <v/>
      </c>
      <c r="Z201" s="216" t="str">
        <f t="shared" si="96"/>
        <v/>
      </c>
      <c r="AA201" s="216" t="str">
        <f t="shared" si="97"/>
        <v/>
      </c>
      <c r="AB201" s="217" t="str">
        <f t="shared" si="98"/>
        <v/>
      </c>
      <c r="AC201" s="218" t="str">
        <f t="shared" si="99"/>
        <v/>
      </c>
      <c r="AD201" s="317"/>
    </row>
    <row r="202" spans="2:30" x14ac:dyDescent="0.35">
      <c r="B202" s="96">
        <v>168</v>
      </c>
      <c r="C202" s="304"/>
      <c r="D202" s="302"/>
      <c r="E202" s="302"/>
      <c r="F202" s="644"/>
      <c r="G202" s="645"/>
      <c r="H202" s="408" t="str">
        <f t="shared" si="83"/>
        <v/>
      </c>
      <c r="I202" s="408" t="str">
        <f t="shared" si="84"/>
        <v/>
      </c>
      <c r="J202" s="311"/>
      <c r="K202" s="409" t="str">
        <f t="shared" si="85"/>
        <v/>
      </c>
      <c r="L202" s="406" t="str">
        <f t="shared" si="86"/>
        <v/>
      </c>
      <c r="M202" s="407" t="str">
        <f t="shared" si="87"/>
        <v/>
      </c>
      <c r="N202" s="312"/>
      <c r="O202" s="302"/>
      <c r="P202" s="411" t="str">
        <f t="shared" si="88"/>
        <v/>
      </c>
      <c r="Q202" s="411" t="str">
        <f t="shared" si="89"/>
        <v/>
      </c>
      <c r="R202" s="313"/>
      <c r="S202" s="314"/>
      <c r="T202" s="215" t="str">
        <f t="shared" si="90"/>
        <v/>
      </c>
      <c r="U202" s="216" t="str">
        <f t="shared" si="91"/>
        <v/>
      </c>
      <c r="V202" s="216" t="str">
        <f t="shared" si="92"/>
        <v/>
      </c>
      <c r="W202" s="216" t="str">
        <f t="shared" si="93"/>
        <v/>
      </c>
      <c r="X202" s="216" t="str">
        <f t="shared" si="94"/>
        <v/>
      </c>
      <c r="Y202" s="216" t="str">
        <f t="shared" si="95"/>
        <v/>
      </c>
      <c r="Z202" s="216" t="str">
        <f t="shared" si="96"/>
        <v/>
      </c>
      <c r="AA202" s="216" t="str">
        <f t="shared" si="97"/>
        <v/>
      </c>
      <c r="AB202" s="217" t="str">
        <f t="shared" si="98"/>
        <v/>
      </c>
      <c r="AC202" s="218" t="str">
        <f t="shared" si="99"/>
        <v/>
      </c>
      <c r="AD202" s="317"/>
    </row>
    <row r="203" spans="2:30" x14ac:dyDescent="0.35">
      <c r="B203" s="96">
        <v>169</v>
      </c>
      <c r="C203" s="304"/>
      <c r="D203" s="302"/>
      <c r="E203" s="302"/>
      <c r="F203" s="644"/>
      <c r="G203" s="645"/>
      <c r="H203" s="408" t="str">
        <f t="shared" si="83"/>
        <v/>
      </c>
      <c r="I203" s="408" t="str">
        <f t="shared" si="84"/>
        <v/>
      </c>
      <c r="J203" s="311"/>
      <c r="K203" s="409" t="str">
        <f t="shared" si="85"/>
        <v/>
      </c>
      <c r="L203" s="406" t="str">
        <f t="shared" si="86"/>
        <v/>
      </c>
      <c r="M203" s="407" t="str">
        <f t="shared" si="87"/>
        <v/>
      </c>
      <c r="N203" s="312"/>
      <c r="O203" s="302"/>
      <c r="P203" s="411" t="str">
        <f t="shared" si="88"/>
        <v/>
      </c>
      <c r="Q203" s="411" t="str">
        <f t="shared" si="89"/>
        <v/>
      </c>
      <c r="R203" s="313"/>
      <c r="S203" s="314"/>
      <c r="T203" s="215" t="str">
        <f t="shared" si="90"/>
        <v/>
      </c>
      <c r="U203" s="216" t="str">
        <f t="shared" si="91"/>
        <v/>
      </c>
      <c r="V203" s="216" t="str">
        <f t="shared" si="92"/>
        <v/>
      </c>
      <c r="W203" s="216" t="str">
        <f t="shared" si="93"/>
        <v/>
      </c>
      <c r="X203" s="216" t="str">
        <f t="shared" si="94"/>
        <v/>
      </c>
      <c r="Y203" s="216" t="str">
        <f t="shared" si="95"/>
        <v/>
      </c>
      <c r="Z203" s="216" t="str">
        <f t="shared" si="96"/>
        <v/>
      </c>
      <c r="AA203" s="216" t="str">
        <f t="shared" si="97"/>
        <v/>
      </c>
      <c r="AB203" s="217" t="str">
        <f t="shared" si="98"/>
        <v/>
      </c>
      <c r="AC203" s="218" t="str">
        <f t="shared" si="99"/>
        <v/>
      </c>
      <c r="AD203" s="317"/>
    </row>
    <row r="204" spans="2:30" x14ac:dyDescent="0.35">
      <c r="B204" s="96">
        <v>170</v>
      </c>
      <c r="C204" s="304"/>
      <c r="D204" s="302"/>
      <c r="E204" s="302"/>
      <c r="F204" s="644"/>
      <c r="G204" s="645"/>
      <c r="H204" s="408" t="str">
        <f t="shared" si="83"/>
        <v/>
      </c>
      <c r="I204" s="408" t="str">
        <f t="shared" si="84"/>
        <v/>
      </c>
      <c r="J204" s="311"/>
      <c r="K204" s="409" t="str">
        <f t="shared" si="85"/>
        <v/>
      </c>
      <c r="L204" s="406" t="str">
        <f t="shared" si="86"/>
        <v/>
      </c>
      <c r="M204" s="407" t="str">
        <f t="shared" si="87"/>
        <v/>
      </c>
      <c r="N204" s="312"/>
      <c r="O204" s="302"/>
      <c r="P204" s="411" t="str">
        <f t="shared" si="88"/>
        <v/>
      </c>
      <c r="Q204" s="411" t="str">
        <f t="shared" si="89"/>
        <v/>
      </c>
      <c r="R204" s="313"/>
      <c r="S204" s="314"/>
      <c r="T204" s="215" t="str">
        <f t="shared" si="90"/>
        <v/>
      </c>
      <c r="U204" s="216" t="str">
        <f t="shared" si="91"/>
        <v/>
      </c>
      <c r="V204" s="216" t="str">
        <f t="shared" si="92"/>
        <v/>
      </c>
      <c r="W204" s="216" t="str">
        <f t="shared" si="93"/>
        <v/>
      </c>
      <c r="X204" s="216" t="str">
        <f t="shared" si="94"/>
        <v/>
      </c>
      <c r="Y204" s="216" t="str">
        <f t="shared" si="95"/>
        <v/>
      </c>
      <c r="Z204" s="216" t="str">
        <f t="shared" si="96"/>
        <v/>
      </c>
      <c r="AA204" s="216" t="str">
        <f t="shared" si="97"/>
        <v/>
      </c>
      <c r="AB204" s="217" t="str">
        <f t="shared" si="98"/>
        <v/>
      </c>
      <c r="AC204" s="218" t="str">
        <f t="shared" si="99"/>
        <v/>
      </c>
      <c r="AD204" s="317"/>
    </row>
    <row r="205" spans="2:30" x14ac:dyDescent="0.35">
      <c r="B205" s="96">
        <v>171</v>
      </c>
      <c r="C205" s="304"/>
      <c r="D205" s="302"/>
      <c r="E205" s="302"/>
      <c r="F205" s="644"/>
      <c r="G205" s="645"/>
      <c r="H205" s="408" t="str">
        <f t="shared" si="83"/>
        <v/>
      </c>
      <c r="I205" s="408" t="str">
        <f t="shared" si="84"/>
        <v/>
      </c>
      <c r="J205" s="311"/>
      <c r="K205" s="409" t="str">
        <f t="shared" si="85"/>
        <v/>
      </c>
      <c r="L205" s="406" t="str">
        <f t="shared" si="86"/>
        <v/>
      </c>
      <c r="M205" s="407" t="str">
        <f t="shared" si="87"/>
        <v/>
      </c>
      <c r="N205" s="312"/>
      <c r="O205" s="302"/>
      <c r="P205" s="411" t="str">
        <f t="shared" si="88"/>
        <v/>
      </c>
      <c r="Q205" s="411" t="str">
        <f t="shared" si="89"/>
        <v/>
      </c>
      <c r="R205" s="313"/>
      <c r="S205" s="314"/>
      <c r="T205" s="215" t="str">
        <f t="shared" si="90"/>
        <v/>
      </c>
      <c r="U205" s="216" t="str">
        <f t="shared" si="91"/>
        <v/>
      </c>
      <c r="V205" s="216" t="str">
        <f t="shared" si="92"/>
        <v/>
      </c>
      <c r="W205" s="216" t="str">
        <f t="shared" si="93"/>
        <v/>
      </c>
      <c r="X205" s="216" t="str">
        <f t="shared" si="94"/>
        <v/>
      </c>
      <c r="Y205" s="216" t="str">
        <f t="shared" si="95"/>
        <v/>
      </c>
      <c r="Z205" s="216" t="str">
        <f t="shared" si="96"/>
        <v/>
      </c>
      <c r="AA205" s="216" t="str">
        <f t="shared" si="97"/>
        <v/>
      </c>
      <c r="AB205" s="217" t="str">
        <f t="shared" si="98"/>
        <v/>
      </c>
      <c r="AC205" s="218" t="str">
        <f t="shared" si="99"/>
        <v/>
      </c>
      <c r="AD205" s="317"/>
    </row>
    <row r="206" spans="2:30" x14ac:dyDescent="0.35">
      <c r="B206" s="96">
        <v>172</v>
      </c>
      <c r="C206" s="304"/>
      <c r="D206" s="302"/>
      <c r="E206" s="302"/>
      <c r="F206" s="644"/>
      <c r="G206" s="645"/>
      <c r="H206" s="408" t="str">
        <f t="shared" si="83"/>
        <v/>
      </c>
      <c r="I206" s="408" t="str">
        <f t="shared" si="84"/>
        <v/>
      </c>
      <c r="J206" s="311"/>
      <c r="K206" s="409" t="str">
        <f t="shared" si="85"/>
        <v/>
      </c>
      <c r="L206" s="406" t="str">
        <f t="shared" si="86"/>
        <v/>
      </c>
      <c r="M206" s="407" t="str">
        <f t="shared" si="87"/>
        <v/>
      </c>
      <c r="N206" s="312"/>
      <c r="O206" s="302"/>
      <c r="P206" s="411" t="str">
        <f t="shared" si="88"/>
        <v/>
      </c>
      <c r="Q206" s="411" t="str">
        <f t="shared" si="89"/>
        <v/>
      </c>
      <c r="R206" s="313"/>
      <c r="S206" s="314"/>
      <c r="T206" s="215" t="str">
        <f t="shared" si="90"/>
        <v/>
      </c>
      <c r="U206" s="216" t="str">
        <f t="shared" si="91"/>
        <v/>
      </c>
      <c r="V206" s="216" t="str">
        <f t="shared" si="92"/>
        <v/>
      </c>
      <c r="W206" s="216" t="str">
        <f t="shared" si="93"/>
        <v/>
      </c>
      <c r="X206" s="216" t="str">
        <f t="shared" si="94"/>
        <v/>
      </c>
      <c r="Y206" s="216" t="str">
        <f t="shared" si="95"/>
        <v/>
      </c>
      <c r="Z206" s="216" t="str">
        <f t="shared" si="96"/>
        <v/>
      </c>
      <c r="AA206" s="216" t="str">
        <f t="shared" si="97"/>
        <v/>
      </c>
      <c r="AB206" s="217" t="str">
        <f t="shared" si="98"/>
        <v/>
      </c>
      <c r="AC206" s="218" t="str">
        <f t="shared" si="99"/>
        <v/>
      </c>
      <c r="AD206" s="317"/>
    </row>
    <row r="207" spans="2:30" x14ac:dyDescent="0.35">
      <c r="B207" s="96">
        <v>173</v>
      </c>
      <c r="C207" s="304"/>
      <c r="D207" s="302"/>
      <c r="E207" s="302"/>
      <c r="F207" s="644"/>
      <c r="G207" s="645"/>
      <c r="H207" s="408" t="str">
        <f t="shared" si="83"/>
        <v/>
      </c>
      <c r="I207" s="408" t="str">
        <f t="shared" si="84"/>
        <v/>
      </c>
      <c r="J207" s="311"/>
      <c r="K207" s="409" t="str">
        <f t="shared" si="85"/>
        <v/>
      </c>
      <c r="L207" s="406" t="str">
        <f t="shared" si="86"/>
        <v/>
      </c>
      <c r="M207" s="407" t="str">
        <f t="shared" si="87"/>
        <v/>
      </c>
      <c r="N207" s="312"/>
      <c r="O207" s="302"/>
      <c r="P207" s="411" t="str">
        <f t="shared" si="88"/>
        <v/>
      </c>
      <c r="Q207" s="411" t="str">
        <f t="shared" si="89"/>
        <v/>
      </c>
      <c r="R207" s="313"/>
      <c r="S207" s="314"/>
      <c r="T207" s="215" t="str">
        <f t="shared" si="90"/>
        <v/>
      </c>
      <c r="U207" s="216" t="str">
        <f t="shared" si="91"/>
        <v/>
      </c>
      <c r="V207" s="216" t="str">
        <f t="shared" si="92"/>
        <v/>
      </c>
      <c r="W207" s="216" t="str">
        <f t="shared" si="93"/>
        <v/>
      </c>
      <c r="X207" s="216" t="str">
        <f t="shared" si="94"/>
        <v/>
      </c>
      <c r="Y207" s="216" t="str">
        <f t="shared" si="95"/>
        <v/>
      </c>
      <c r="Z207" s="216" t="str">
        <f t="shared" si="96"/>
        <v/>
      </c>
      <c r="AA207" s="216" t="str">
        <f t="shared" si="97"/>
        <v/>
      </c>
      <c r="AB207" s="217" t="str">
        <f t="shared" si="98"/>
        <v/>
      </c>
      <c r="AC207" s="218" t="str">
        <f t="shared" si="99"/>
        <v/>
      </c>
      <c r="AD207" s="317"/>
    </row>
    <row r="208" spans="2:30" x14ac:dyDescent="0.35">
      <c r="B208" s="96">
        <v>174</v>
      </c>
      <c r="C208" s="304"/>
      <c r="D208" s="302"/>
      <c r="E208" s="302"/>
      <c r="F208" s="644"/>
      <c r="G208" s="645"/>
      <c r="H208" s="408" t="str">
        <f t="shared" si="83"/>
        <v/>
      </c>
      <c r="I208" s="408" t="str">
        <f t="shared" si="84"/>
        <v/>
      </c>
      <c r="J208" s="311"/>
      <c r="K208" s="409" t="str">
        <f t="shared" si="85"/>
        <v/>
      </c>
      <c r="L208" s="406" t="str">
        <f t="shared" si="86"/>
        <v/>
      </c>
      <c r="M208" s="407" t="str">
        <f t="shared" si="87"/>
        <v/>
      </c>
      <c r="N208" s="312"/>
      <c r="O208" s="302"/>
      <c r="P208" s="411" t="str">
        <f t="shared" si="88"/>
        <v/>
      </c>
      <c r="Q208" s="411" t="str">
        <f t="shared" si="89"/>
        <v/>
      </c>
      <c r="R208" s="313"/>
      <c r="S208" s="314"/>
      <c r="T208" s="215" t="str">
        <f t="shared" si="90"/>
        <v/>
      </c>
      <c r="U208" s="216" t="str">
        <f t="shared" si="91"/>
        <v/>
      </c>
      <c r="V208" s="216" t="str">
        <f t="shared" si="92"/>
        <v/>
      </c>
      <c r="W208" s="216" t="str">
        <f t="shared" si="93"/>
        <v/>
      </c>
      <c r="X208" s="216" t="str">
        <f t="shared" si="94"/>
        <v/>
      </c>
      <c r="Y208" s="216" t="str">
        <f t="shared" si="95"/>
        <v/>
      </c>
      <c r="Z208" s="216" t="str">
        <f t="shared" si="96"/>
        <v/>
      </c>
      <c r="AA208" s="216" t="str">
        <f t="shared" si="97"/>
        <v/>
      </c>
      <c r="AB208" s="217" t="str">
        <f t="shared" si="98"/>
        <v/>
      </c>
      <c r="AC208" s="218" t="str">
        <f t="shared" si="99"/>
        <v/>
      </c>
      <c r="AD208" s="317"/>
    </row>
    <row r="209" spans="2:30" x14ac:dyDescent="0.35">
      <c r="B209" s="96">
        <v>175</v>
      </c>
      <c r="C209" s="304"/>
      <c r="D209" s="302"/>
      <c r="E209" s="302"/>
      <c r="F209" s="644"/>
      <c r="G209" s="645"/>
      <c r="H209" s="408" t="str">
        <f t="shared" si="83"/>
        <v/>
      </c>
      <c r="I209" s="408" t="str">
        <f t="shared" si="84"/>
        <v/>
      </c>
      <c r="J209" s="311"/>
      <c r="K209" s="409" t="str">
        <f t="shared" si="85"/>
        <v/>
      </c>
      <c r="L209" s="406" t="str">
        <f t="shared" si="86"/>
        <v/>
      </c>
      <c r="M209" s="407" t="str">
        <f t="shared" si="87"/>
        <v/>
      </c>
      <c r="N209" s="312"/>
      <c r="O209" s="302"/>
      <c r="P209" s="411" t="str">
        <f t="shared" si="88"/>
        <v/>
      </c>
      <c r="Q209" s="411" t="str">
        <f t="shared" si="89"/>
        <v/>
      </c>
      <c r="R209" s="313"/>
      <c r="S209" s="314"/>
      <c r="T209" s="215" t="str">
        <f t="shared" si="90"/>
        <v/>
      </c>
      <c r="U209" s="216" t="str">
        <f t="shared" si="91"/>
        <v/>
      </c>
      <c r="V209" s="216" t="str">
        <f t="shared" si="92"/>
        <v/>
      </c>
      <c r="W209" s="216" t="str">
        <f t="shared" si="93"/>
        <v/>
      </c>
      <c r="X209" s="216" t="str">
        <f t="shared" si="94"/>
        <v/>
      </c>
      <c r="Y209" s="216" t="str">
        <f t="shared" si="95"/>
        <v/>
      </c>
      <c r="Z209" s="216" t="str">
        <f t="shared" si="96"/>
        <v/>
      </c>
      <c r="AA209" s="216" t="str">
        <f t="shared" si="97"/>
        <v/>
      </c>
      <c r="AB209" s="217" t="str">
        <f t="shared" si="98"/>
        <v/>
      </c>
      <c r="AC209" s="218" t="str">
        <f t="shared" si="99"/>
        <v/>
      </c>
      <c r="AD209" s="317"/>
    </row>
    <row r="210" spans="2:30" x14ac:dyDescent="0.35">
      <c r="B210" s="96">
        <v>176</v>
      </c>
      <c r="C210" s="304"/>
      <c r="D210" s="302"/>
      <c r="E210" s="302"/>
      <c r="F210" s="644"/>
      <c r="G210" s="645"/>
      <c r="H210" s="408" t="str">
        <f t="shared" si="83"/>
        <v/>
      </c>
      <c r="I210" s="408" t="str">
        <f t="shared" si="84"/>
        <v/>
      </c>
      <c r="J210" s="311"/>
      <c r="K210" s="409" t="str">
        <f t="shared" si="85"/>
        <v/>
      </c>
      <c r="L210" s="406" t="str">
        <f t="shared" si="86"/>
        <v/>
      </c>
      <c r="M210" s="407" t="str">
        <f t="shared" si="87"/>
        <v/>
      </c>
      <c r="N210" s="312"/>
      <c r="O210" s="302"/>
      <c r="P210" s="411" t="str">
        <f t="shared" si="88"/>
        <v/>
      </c>
      <c r="Q210" s="411" t="str">
        <f t="shared" si="89"/>
        <v/>
      </c>
      <c r="R210" s="313"/>
      <c r="S210" s="314"/>
      <c r="T210" s="215" t="str">
        <f t="shared" si="90"/>
        <v/>
      </c>
      <c r="U210" s="216" t="str">
        <f t="shared" si="91"/>
        <v/>
      </c>
      <c r="V210" s="216" t="str">
        <f t="shared" si="92"/>
        <v/>
      </c>
      <c r="W210" s="216" t="str">
        <f t="shared" si="93"/>
        <v/>
      </c>
      <c r="X210" s="216" t="str">
        <f t="shared" si="94"/>
        <v/>
      </c>
      <c r="Y210" s="216" t="str">
        <f t="shared" si="95"/>
        <v/>
      </c>
      <c r="Z210" s="216" t="str">
        <f t="shared" si="96"/>
        <v/>
      </c>
      <c r="AA210" s="216" t="str">
        <f t="shared" si="97"/>
        <v/>
      </c>
      <c r="AB210" s="217" t="str">
        <f t="shared" si="98"/>
        <v/>
      </c>
      <c r="AC210" s="218" t="str">
        <f t="shared" si="99"/>
        <v/>
      </c>
      <c r="AD210" s="317"/>
    </row>
    <row r="211" spans="2:30" x14ac:dyDescent="0.35">
      <c r="B211" s="96">
        <v>177</v>
      </c>
      <c r="C211" s="304"/>
      <c r="D211" s="302"/>
      <c r="E211" s="302"/>
      <c r="F211" s="644"/>
      <c r="G211" s="645"/>
      <c r="H211" s="408" t="str">
        <f t="shared" si="83"/>
        <v/>
      </c>
      <c r="I211" s="408" t="str">
        <f t="shared" si="84"/>
        <v/>
      </c>
      <c r="J211" s="311"/>
      <c r="K211" s="409" t="str">
        <f t="shared" si="85"/>
        <v/>
      </c>
      <c r="L211" s="406" t="str">
        <f t="shared" si="86"/>
        <v/>
      </c>
      <c r="M211" s="407" t="str">
        <f t="shared" si="87"/>
        <v/>
      </c>
      <c r="N211" s="312"/>
      <c r="O211" s="302"/>
      <c r="P211" s="411" t="str">
        <f t="shared" si="88"/>
        <v/>
      </c>
      <c r="Q211" s="411" t="str">
        <f t="shared" si="89"/>
        <v/>
      </c>
      <c r="R211" s="313"/>
      <c r="S211" s="314"/>
      <c r="T211" s="215" t="str">
        <f t="shared" si="90"/>
        <v/>
      </c>
      <c r="U211" s="216" t="str">
        <f t="shared" si="91"/>
        <v/>
      </c>
      <c r="V211" s="216" t="str">
        <f t="shared" si="92"/>
        <v/>
      </c>
      <c r="W211" s="216" t="str">
        <f t="shared" si="93"/>
        <v/>
      </c>
      <c r="X211" s="216" t="str">
        <f t="shared" si="94"/>
        <v/>
      </c>
      <c r="Y211" s="216" t="str">
        <f t="shared" si="95"/>
        <v/>
      </c>
      <c r="Z211" s="216" t="str">
        <f t="shared" si="96"/>
        <v/>
      </c>
      <c r="AA211" s="216" t="str">
        <f t="shared" si="97"/>
        <v/>
      </c>
      <c r="AB211" s="217" t="str">
        <f t="shared" si="98"/>
        <v/>
      </c>
      <c r="AC211" s="218" t="str">
        <f t="shared" si="99"/>
        <v/>
      </c>
      <c r="AD211" s="317"/>
    </row>
    <row r="212" spans="2:30" x14ac:dyDescent="0.35">
      <c r="B212" s="96">
        <v>178</v>
      </c>
      <c r="C212" s="304"/>
      <c r="D212" s="302"/>
      <c r="E212" s="302"/>
      <c r="F212" s="644"/>
      <c r="G212" s="645"/>
      <c r="H212" s="408" t="str">
        <f t="shared" si="83"/>
        <v/>
      </c>
      <c r="I212" s="408" t="str">
        <f t="shared" si="84"/>
        <v/>
      </c>
      <c r="J212" s="311"/>
      <c r="K212" s="409" t="str">
        <f t="shared" si="85"/>
        <v/>
      </c>
      <c r="L212" s="406" t="str">
        <f t="shared" si="86"/>
        <v/>
      </c>
      <c r="M212" s="407" t="str">
        <f t="shared" si="87"/>
        <v/>
      </c>
      <c r="N212" s="312"/>
      <c r="O212" s="302"/>
      <c r="P212" s="411" t="str">
        <f t="shared" si="88"/>
        <v/>
      </c>
      <c r="Q212" s="411" t="str">
        <f t="shared" si="89"/>
        <v/>
      </c>
      <c r="R212" s="313"/>
      <c r="S212" s="314"/>
      <c r="T212" s="215" t="str">
        <f t="shared" si="90"/>
        <v/>
      </c>
      <c r="U212" s="216" t="str">
        <f t="shared" si="91"/>
        <v/>
      </c>
      <c r="V212" s="216" t="str">
        <f t="shared" si="92"/>
        <v/>
      </c>
      <c r="W212" s="216" t="str">
        <f t="shared" si="93"/>
        <v/>
      </c>
      <c r="X212" s="216" t="str">
        <f t="shared" si="94"/>
        <v/>
      </c>
      <c r="Y212" s="216" t="str">
        <f t="shared" si="95"/>
        <v/>
      </c>
      <c r="Z212" s="216" t="str">
        <f t="shared" si="96"/>
        <v/>
      </c>
      <c r="AA212" s="216" t="str">
        <f t="shared" si="97"/>
        <v/>
      </c>
      <c r="AB212" s="217" t="str">
        <f t="shared" si="98"/>
        <v/>
      </c>
      <c r="AC212" s="218" t="str">
        <f t="shared" si="99"/>
        <v/>
      </c>
      <c r="AD212" s="317"/>
    </row>
    <row r="213" spans="2:30" x14ac:dyDescent="0.35">
      <c r="B213" s="96">
        <v>179</v>
      </c>
      <c r="C213" s="304"/>
      <c r="D213" s="302"/>
      <c r="E213" s="302"/>
      <c r="F213" s="644"/>
      <c r="G213" s="645"/>
      <c r="H213" s="408" t="str">
        <f t="shared" si="83"/>
        <v/>
      </c>
      <c r="I213" s="408" t="str">
        <f t="shared" si="84"/>
        <v/>
      </c>
      <c r="J213" s="311"/>
      <c r="K213" s="409" t="str">
        <f t="shared" si="85"/>
        <v/>
      </c>
      <c r="L213" s="406" t="str">
        <f t="shared" si="86"/>
        <v/>
      </c>
      <c r="M213" s="407" t="str">
        <f t="shared" si="87"/>
        <v/>
      </c>
      <c r="N213" s="312"/>
      <c r="O213" s="302"/>
      <c r="P213" s="411" t="str">
        <f t="shared" si="88"/>
        <v/>
      </c>
      <c r="Q213" s="411" t="str">
        <f t="shared" si="89"/>
        <v/>
      </c>
      <c r="R213" s="313"/>
      <c r="S213" s="314"/>
      <c r="T213" s="215" t="str">
        <f t="shared" si="90"/>
        <v/>
      </c>
      <c r="U213" s="216" t="str">
        <f t="shared" si="91"/>
        <v/>
      </c>
      <c r="V213" s="216" t="str">
        <f t="shared" si="92"/>
        <v/>
      </c>
      <c r="W213" s="216" t="str">
        <f t="shared" si="93"/>
        <v/>
      </c>
      <c r="X213" s="216" t="str">
        <f t="shared" si="94"/>
        <v/>
      </c>
      <c r="Y213" s="216" t="str">
        <f t="shared" si="95"/>
        <v/>
      </c>
      <c r="Z213" s="216" t="str">
        <f t="shared" si="96"/>
        <v/>
      </c>
      <c r="AA213" s="216" t="str">
        <f t="shared" si="97"/>
        <v/>
      </c>
      <c r="AB213" s="217" t="str">
        <f t="shared" si="98"/>
        <v/>
      </c>
      <c r="AC213" s="218" t="str">
        <f t="shared" si="99"/>
        <v/>
      </c>
      <c r="AD213" s="317"/>
    </row>
    <row r="214" spans="2:30" x14ac:dyDescent="0.35">
      <c r="B214" s="96">
        <v>180</v>
      </c>
      <c r="C214" s="304"/>
      <c r="D214" s="302"/>
      <c r="E214" s="302"/>
      <c r="F214" s="644"/>
      <c r="G214" s="645"/>
      <c r="H214" s="408" t="str">
        <f t="shared" si="83"/>
        <v/>
      </c>
      <c r="I214" s="408" t="str">
        <f t="shared" si="84"/>
        <v/>
      </c>
      <c r="J214" s="311"/>
      <c r="K214" s="409" t="str">
        <f t="shared" si="85"/>
        <v/>
      </c>
      <c r="L214" s="406" t="str">
        <f t="shared" si="86"/>
        <v/>
      </c>
      <c r="M214" s="407" t="str">
        <f t="shared" si="87"/>
        <v/>
      </c>
      <c r="N214" s="312"/>
      <c r="O214" s="302"/>
      <c r="P214" s="411" t="str">
        <f t="shared" si="88"/>
        <v/>
      </c>
      <c r="Q214" s="411" t="str">
        <f t="shared" si="89"/>
        <v/>
      </c>
      <c r="R214" s="313"/>
      <c r="S214" s="314"/>
      <c r="T214" s="215" t="str">
        <f t="shared" si="90"/>
        <v/>
      </c>
      <c r="U214" s="216" t="str">
        <f t="shared" si="91"/>
        <v/>
      </c>
      <c r="V214" s="216" t="str">
        <f t="shared" si="92"/>
        <v/>
      </c>
      <c r="W214" s="216" t="str">
        <f t="shared" si="93"/>
        <v/>
      </c>
      <c r="X214" s="216" t="str">
        <f t="shared" si="94"/>
        <v/>
      </c>
      <c r="Y214" s="216" t="str">
        <f t="shared" si="95"/>
        <v/>
      </c>
      <c r="Z214" s="216" t="str">
        <f t="shared" si="96"/>
        <v/>
      </c>
      <c r="AA214" s="216" t="str">
        <f t="shared" si="97"/>
        <v/>
      </c>
      <c r="AB214" s="217" t="str">
        <f t="shared" si="98"/>
        <v/>
      </c>
      <c r="AC214" s="218" t="str">
        <f t="shared" si="99"/>
        <v/>
      </c>
      <c r="AD214" s="317"/>
    </row>
    <row r="215" spans="2:30" x14ac:dyDescent="0.35">
      <c r="B215" s="96">
        <v>181</v>
      </c>
      <c r="C215" s="304"/>
      <c r="D215" s="302"/>
      <c r="E215" s="302"/>
      <c r="F215" s="644"/>
      <c r="G215" s="645"/>
      <c r="H215" s="408" t="str">
        <f t="shared" si="83"/>
        <v/>
      </c>
      <c r="I215" s="408" t="str">
        <f t="shared" si="84"/>
        <v/>
      </c>
      <c r="J215" s="311"/>
      <c r="K215" s="409" t="str">
        <f t="shared" si="85"/>
        <v/>
      </c>
      <c r="L215" s="406" t="str">
        <f t="shared" si="86"/>
        <v/>
      </c>
      <c r="M215" s="407" t="str">
        <f t="shared" si="87"/>
        <v/>
      </c>
      <c r="N215" s="312"/>
      <c r="O215" s="302"/>
      <c r="P215" s="411" t="str">
        <f t="shared" si="88"/>
        <v/>
      </c>
      <c r="Q215" s="411" t="str">
        <f t="shared" si="89"/>
        <v/>
      </c>
      <c r="R215" s="313"/>
      <c r="S215" s="314"/>
      <c r="T215" s="215" t="str">
        <f t="shared" si="90"/>
        <v/>
      </c>
      <c r="U215" s="216" t="str">
        <f t="shared" si="91"/>
        <v/>
      </c>
      <c r="V215" s="216" t="str">
        <f t="shared" si="92"/>
        <v/>
      </c>
      <c r="W215" s="216" t="str">
        <f t="shared" si="93"/>
        <v/>
      </c>
      <c r="X215" s="216" t="str">
        <f t="shared" si="94"/>
        <v/>
      </c>
      <c r="Y215" s="216" t="str">
        <f t="shared" si="95"/>
        <v/>
      </c>
      <c r="Z215" s="216" t="str">
        <f t="shared" si="96"/>
        <v/>
      </c>
      <c r="AA215" s="216" t="str">
        <f t="shared" si="97"/>
        <v/>
      </c>
      <c r="AB215" s="217" t="str">
        <f t="shared" si="98"/>
        <v/>
      </c>
      <c r="AC215" s="218" t="str">
        <f t="shared" si="99"/>
        <v/>
      </c>
      <c r="AD215" s="317"/>
    </row>
    <row r="216" spans="2:30" x14ac:dyDescent="0.35">
      <c r="B216" s="96">
        <v>182</v>
      </c>
      <c r="C216" s="304"/>
      <c r="D216" s="302"/>
      <c r="E216" s="302"/>
      <c r="F216" s="644"/>
      <c r="G216" s="645"/>
      <c r="H216" s="408" t="str">
        <f t="shared" si="83"/>
        <v/>
      </c>
      <c r="I216" s="408" t="str">
        <f t="shared" si="84"/>
        <v/>
      </c>
      <c r="J216" s="311"/>
      <c r="K216" s="409" t="str">
        <f t="shared" si="85"/>
        <v/>
      </c>
      <c r="L216" s="406" t="str">
        <f t="shared" si="86"/>
        <v/>
      </c>
      <c r="M216" s="407" t="str">
        <f t="shared" si="87"/>
        <v/>
      </c>
      <c r="N216" s="312"/>
      <c r="O216" s="302"/>
      <c r="P216" s="411" t="str">
        <f t="shared" si="88"/>
        <v/>
      </c>
      <c r="Q216" s="411" t="str">
        <f t="shared" si="89"/>
        <v/>
      </c>
      <c r="R216" s="313"/>
      <c r="S216" s="314"/>
      <c r="T216" s="215" t="str">
        <f t="shared" si="90"/>
        <v/>
      </c>
      <c r="U216" s="216" t="str">
        <f t="shared" si="91"/>
        <v/>
      </c>
      <c r="V216" s="216" t="str">
        <f t="shared" si="92"/>
        <v/>
      </c>
      <c r="W216" s="216" t="str">
        <f t="shared" si="93"/>
        <v/>
      </c>
      <c r="X216" s="216" t="str">
        <f t="shared" si="94"/>
        <v/>
      </c>
      <c r="Y216" s="216" t="str">
        <f t="shared" si="95"/>
        <v/>
      </c>
      <c r="Z216" s="216" t="str">
        <f t="shared" si="96"/>
        <v/>
      </c>
      <c r="AA216" s="216" t="str">
        <f t="shared" si="97"/>
        <v/>
      </c>
      <c r="AB216" s="217" t="str">
        <f t="shared" si="98"/>
        <v/>
      </c>
      <c r="AC216" s="218" t="str">
        <f t="shared" si="99"/>
        <v/>
      </c>
      <c r="AD216" s="317"/>
    </row>
    <row r="217" spans="2:30" x14ac:dyDescent="0.35">
      <c r="B217" s="96">
        <v>183</v>
      </c>
      <c r="C217" s="304"/>
      <c r="D217" s="302"/>
      <c r="E217" s="302"/>
      <c r="F217" s="644"/>
      <c r="G217" s="645"/>
      <c r="H217" s="408" t="str">
        <f t="shared" si="83"/>
        <v/>
      </c>
      <c r="I217" s="408" t="str">
        <f t="shared" si="84"/>
        <v/>
      </c>
      <c r="J217" s="311"/>
      <c r="K217" s="409" t="str">
        <f t="shared" si="85"/>
        <v/>
      </c>
      <c r="L217" s="406" t="str">
        <f t="shared" si="86"/>
        <v/>
      </c>
      <c r="M217" s="407" t="str">
        <f t="shared" si="87"/>
        <v/>
      </c>
      <c r="N217" s="312"/>
      <c r="O217" s="302"/>
      <c r="P217" s="411" t="str">
        <f t="shared" si="88"/>
        <v/>
      </c>
      <c r="Q217" s="411" t="str">
        <f t="shared" si="89"/>
        <v/>
      </c>
      <c r="R217" s="313"/>
      <c r="S217" s="314"/>
      <c r="T217" s="215" t="str">
        <f t="shared" si="90"/>
        <v/>
      </c>
      <c r="U217" s="216" t="str">
        <f t="shared" si="91"/>
        <v/>
      </c>
      <c r="V217" s="216" t="str">
        <f t="shared" si="92"/>
        <v/>
      </c>
      <c r="W217" s="216" t="str">
        <f t="shared" si="93"/>
        <v/>
      </c>
      <c r="X217" s="216" t="str">
        <f t="shared" si="94"/>
        <v/>
      </c>
      <c r="Y217" s="216" t="str">
        <f t="shared" si="95"/>
        <v/>
      </c>
      <c r="Z217" s="216" t="str">
        <f t="shared" si="96"/>
        <v/>
      </c>
      <c r="AA217" s="216" t="str">
        <f t="shared" si="97"/>
        <v/>
      </c>
      <c r="AB217" s="217" t="str">
        <f t="shared" si="98"/>
        <v/>
      </c>
      <c r="AC217" s="218" t="str">
        <f t="shared" si="99"/>
        <v/>
      </c>
      <c r="AD217" s="317"/>
    </row>
    <row r="218" spans="2:30" x14ac:dyDescent="0.35">
      <c r="B218" s="96">
        <v>184</v>
      </c>
      <c r="C218" s="304"/>
      <c r="D218" s="302"/>
      <c r="E218" s="302"/>
      <c r="F218" s="644"/>
      <c r="G218" s="645"/>
      <c r="H218" s="408" t="str">
        <f t="shared" si="83"/>
        <v/>
      </c>
      <c r="I218" s="408" t="str">
        <f t="shared" si="84"/>
        <v/>
      </c>
      <c r="J218" s="311"/>
      <c r="K218" s="409" t="str">
        <f t="shared" si="85"/>
        <v/>
      </c>
      <c r="L218" s="406" t="str">
        <f t="shared" si="86"/>
        <v/>
      </c>
      <c r="M218" s="407" t="str">
        <f t="shared" si="87"/>
        <v/>
      </c>
      <c r="N218" s="312"/>
      <c r="O218" s="302"/>
      <c r="P218" s="411" t="str">
        <f t="shared" si="88"/>
        <v/>
      </c>
      <c r="Q218" s="411" t="str">
        <f t="shared" si="89"/>
        <v/>
      </c>
      <c r="R218" s="313"/>
      <c r="S218" s="314"/>
      <c r="T218" s="215" t="str">
        <f t="shared" si="90"/>
        <v/>
      </c>
      <c r="U218" s="216" t="str">
        <f t="shared" si="91"/>
        <v/>
      </c>
      <c r="V218" s="216" t="str">
        <f t="shared" si="92"/>
        <v/>
      </c>
      <c r="W218" s="216" t="str">
        <f t="shared" si="93"/>
        <v/>
      </c>
      <c r="X218" s="216" t="str">
        <f t="shared" si="94"/>
        <v/>
      </c>
      <c r="Y218" s="216" t="str">
        <f t="shared" si="95"/>
        <v/>
      </c>
      <c r="Z218" s="216" t="str">
        <f t="shared" si="96"/>
        <v/>
      </c>
      <c r="AA218" s="216" t="str">
        <f t="shared" si="97"/>
        <v/>
      </c>
      <c r="AB218" s="217" t="str">
        <f t="shared" si="98"/>
        <v/>
      </c>
      <c r="AC218" s="218" t="str">
        <f t="shared" si="99"/>
        <v/>
      </c>
      <c r="AD218" s="317"/>
    </row>
    <row r="219" spans="2:30" x14ac:dyDescent="0.35">
      <c r="B219" s="96">
        <v>185</v>
      </c>
      <c r="C219" s="304"/>
      <c r="D219" s="302"/>
      <c r="E219" s="302"/>
      <c r="F219" s="644"/>
      <c r="G219" s="645"/>
      <c r="H219" s="408" t="str">
        <f t="shared" si="83"/>
        <v/>
      </c>
      <c r="I219" s="408" t="str">
        <f t="shared" si="84"/>
        <v/>
      </c>
      <c r="J219" s="311"/>
      <c r="K219" s="409" t="str">
        <f t="shared" si="85"/>
        <v/>
      </c>
      <c r="L219" s="406" t="str">
        <f t="shared" si="86"/>
        <v/>
      </c>
      <c r="M219" s="407" t="str">
        <f t="shared" si="87"/>
        <v/>
      </c>
      <c r="N219" s="312"/>
      <c r="O219" s="302"/>
      <c r="P219" s="411" t="str">
        <f t="shared" si="88"/>
        <v/>
      </c>
      <c r="Q219" s="411" t="str">
        <f t="shared" si="89"/>
        <v/>
      </c>
      <c r="R219" s="313"/>
      <c r="S219" s="314"/>
      <c r="T219" s="215" t="str">
        <f t="shared" si="90"/>
        <v/>
      </c>
      <c r="U219" s="216" t="str">
        <f t="shared" si="91"/>
        <v/>
      </c>
      <c r="V219" s="216" t="str">
        <f t="shared" si="92"/>
        <v/>
      </c>
      <c r="W219" s="216" t="str">
        <f t="shared" si="93"/>
        <v/>
      </c>
      <c r="X219" s="216" t="str">
        <f t="shared" si="94"/>
        <v/>
      </c>
      <c r="Y219" s="216" t="str">
        <f t="shared" si="95"/>
        <v/>
      </c>
      <c r="Z219" s="216" t="str">
        <f t="shared" si="96"/>
        <v/>
      </c>
      <c r="AA219" s="216" t="str">
        <f t="shared" si="97"/>
        <v/>
      </c>
      <c r="AB219" s="217" t="str">
        <f t="shared" si="98"/>
        <v/>
      </c>
      <c r="AC219" s="218" t="str">
        <f t="shared" si="99"/>
        <v/>
      </c>
      <c r="AD219" s="317"/>
    </row>
    <row r="220" spans="2:30" x14ac:dyDescent="0.35">
      <c r="B220" s="96">
        <v>186</v>
      </c>
      <c r="C220" s="304"/>
      <c r="D220" s="302"/>
      <c r="E220" s="302"/>
      <c r="F220" s="644"/>
      <c r="G220" s="645"/>
      <c r="H220" s="408" t="str">
        <f t="shared" si="83"/>
        <v/>
      </c>
      <c r="I220" s="408" t="str">
        <f t="shared" si="84"/>
        <v/>
      </c>
      <c r="J220" s="311"/>
      <c r="K220" s="409" t="str">
        <f t="shared" si="85"/>
        <v/>
      </c>
      <c r="L220" s="406" t="str">
        <f t="shared" si="86"/>
        <v/>
      </c>
      <c r="M220" s="407" t="str">
        <f t="shared" si="87"/>
        <v/>
      </c>
      <c r="N220" s="312"/>
      <c r="O220" s="302"/>
      <c r="P220" s="411" t="str">
        <f t="shared" si="88"/>
        <v/>
      </c>
      <c r="Q220" s="411" t="str">
        <f t="shared" si="89"/>
        <v/>
      </c>
      <c r="R220" s="313"/>
      <c r="S220" s="314"/>
      <c r="T220" s="215" t="str">
        <f t="shared" si="90"/>
        <v/>
      </c>
      <c r="U220" s="216" t="str">
        <f t="shared" si="91"/>
        <v/>
      </c>
      <c r="V220" s="216" t="str">
        <f t="shared" si="92"/>
        <v/>
      </c>
      <c r="W220" s="216" t="str">
        <f t="shared" si="93"/>
        <v/>
      </c>
      <c r="X220" s="216" t="str">
        <f t="shared" si="94"/>
        <v/>
      </c>
      <c r="Y220" s="216" t="str">
        <f t="shared" si="95"/>
        <v/>
      </c>
      <c r="Z220" s="216" t="str">
        <f t="shared" si="96"/>
        <v/>
      </c>
      <c r="AA220" s="216" t="str">
        <f t="shared" si="97"/>
        <v/>
      </c>
      <c r="AB220" s="217" t="str">
        <f t="shared" si="98"/>
        <v/>
      </c>
      <c r="AC220" s="218" t="str">
        <f t="shared" si="99"/>
        <v/>
      </c>
      <c r="AD220" s="317"/>
    </row>
    <row r="221" spans="2:30" x14ac:dyDescent="0.35">
      <c r="B221" s="96">
        <v>187</v>
      </c>
      <c r="C221" s="304"/>
      <c r="D221" s="302"/>
      <c r="E221" s="302"/>
      <c r="F221" s="644"/>
      <c r="G221" s="645"/>
      <c r="H221" s="408" t="str">
        <f t="shared" si="83"/>
        <v/>
      </c>
      <c r="I221" s="408" t="str">
        <f t="shared" si="84"/>
        <v/>
      </c>
      <c r="J221" s="311"/>
      <c r="K221" s="409" t="str">
        <f t="shared" si="85"/>
        <v/>
      </c>
      <c r="L221" s="406" t="str">
        <f t="shared" si="86"/>
        <v/>
      </c>
      <c r="M221" s="407" t="str">
        <f t="shared" si="87"/>
        <v/>
      </c>
      <c r="N221" s="312"/>
      <c r="O221" s="302"/>
      <c r="P221" s="411" t="str">
        <f t="shared" si="88"/>
        <v/>
      </c>
      <c r="Q221" s="411" t="str">
        <f t="shared" si="89"/>
        <v/>
      </c>
      <c r="R221" s="313"/>
      <c r="S221" s="314"/>
      <c r="T221" s="215" t="str">
        <f t="shared" si="90"/>
        <v/>
      </c>
      <c r="U221" s="216" t="str">
        <f t="shared" si="91"/>
        <v/>
      </c>
      <c r="V221" s="216" t="str">
        <f t="shared" si="92"/>
        <v/>
      </c>
      <c r="W221" s="216" t="str">
        <f t="shared" si="93"/>
        <v/>
      </c>
      <c r="X221" s="216" t="str">
        <f t="shared" si="94"/>
        <v/>
      </c>
      <c r="Y221" s="216" t="str">
        <f t="shared" si="95"/>
        <v/>
      </c>
      <c r="Z221" s="216" t="str">
        <f t="shared" si="96"/>
        <v/>
      </c>
      <c r="AA221" s="216" t="str">
        <f t="shared" si="97"/>
        <v/>
      </c>
      <c r="AB221" s="217" t="str">
        <f t="shared" si="98"/>
        <v/>
      </c>
      <c r="AC221" s="218" t="str">
        <f t="shared" si="99"/>
        <v/>
      </c>
      <c r="AD221" s="317"/>
    </row>
    <row r="222" spans="2:30" x14ac:dyDescent="0.35">
      <c r="B222" s="96">
        <v>188</v>
      </c>
      <c r="C222" s="304"/>
      <c r="D222" s="302"/>
      <c r="E222" s="302"/>
      <c r="F222" s="644"/>
      <c r="G222" s="645"/>
      <c r="H222" s="408" t="str">
        <f t="shared" si="83"/>
        <v/>
      </c>
      <c r="I222" s="408" t="str">
        <f t="shared" si="84"/>
        <v/>
      </c>
      <c r="J222" s="311"/>
      <c r="K222" s="409" t="str">
        <f t="shared" si="85"/>
        <v/>
      </c>
      <c r="L222" s="406" t="str">
        <f t="shared" si="86"/>
        <v/>
      </c>
      <c r="M222" s="407" t="str">
        <f t="shared" si="87"/>
        <v/>
      </c>
      <c r="N222" s="312"/>
      <c r="O222" s="302"/>
      <c r="P222" s="411" t="str">
        <f t="shared" si="88"/>
        <v/>
      </c>
      <c r="Q222" s="411" t="str">
        <f t="shared" si="89"/>
        <v/>
      </c>
      <c r="R222" s="313"/>
      <c r="S222" s="314"/>
      <c r="T222" s="215" t="str">
        <f t="shared" si="90"/>
        <v/>
      </c>
      <c r="U222" s="216" t="str">
        <f t="shared" si="91"/>
        <v/>
      </c>
      <c r="V222" s="216" t="str">
        <f t="shared" si="92"/>
        <v/>
      </c>
      <c r="W222" s="216" t="str">
        <f t="shared" si="93"/>
        <v/>
      </c>
      <c r="X222" s="216" t="str">
        <f t="shared" si="94"/>
        <v/>
      </c>
      <c r="Y222" s="216" t="str">
        <f t="shared" si="95"/>
        <v/>
      </c>
      <c r="Z222" s="216" t="str">
        <f t="shared" si="96"/>
        <v/>
      </c>
      <c r="AA222" s="216" t="str">
        <f t="shared" si="97"/>
        <v/>
      </c>
      <c r="AB222" s="217" t="str">
        <f t="shared" si="98"/>
        <v/>
      </c>
      <c r="AC222" s="218" t="str">
        <f t="shared" si="99"/>
        <v/>
      </c>
      <c r="AD222" s="317"/>
    </row>
    <row r="223" spans="2:30" x14ac:dyDescent="0.35">
      <c r="B223" s="96">
        <v>189</v>
      </c>
      <c r="C223" s="304"/>
      <c r="D223" s="302"/>
      <c r="E223" s="302"/>
      <c r="F223" s="644"/>
      <c r="G223" s="645"/>
      <c r="H223" s="408" t="str">
        <f t="shared" si="83"/>
        <v/>
      </c>
      <c r="I223" s="408" t="str">
        <f t="shared" si="84"/>
        <v/>
      </c>
      <c r="J223" s="311"/>
      <c r="K223" s="409" t="str">
        <f t="shared" si="85"/>
        <v/>
      </c>
      <c r="L223" s="406" t="str">
        <f t="shared" si="86"/>
        <v/>
      </c>
      <c r="M223" s="407" t="str">
        <f t="shared" si="87"/>
        <v/>
      </c>
      <c r="N223" s="312"/>
      <c r="O223" s="302"/>
      <c r="P223" s="411" t="str">
        <f t="shared" si="88"/>
        <v/>
      </c>
      <c r="Q223" s="411" t="str">
        <f t="shared" si="89"/>
        <v/>
      </c>
      <c r="R223" s="313"/>
      <c r="S223" s="314"/>
      <c r="T223" s="215" t="str">
        <f t="shared" si="90"/>
        <v/>
      </c>
      <c r="U223" s="216" t="str">
        <f t="shared" si="91"/>
        <v/>
      </c>
      <c r="V223" s="216" t="str">
        <f t="shared" si="92"/>
        <v/>
      </c>
      <c r="W223" s="216" t="str">
        <f t="shared" si="93"/>
        <v/>
      </c>
      <c r="X223" s="216" t="str">
        <f t="shared" si="94"/>
        <v/>
      </c>
      <c r="Y223" s="216" t="str">
        <f t="shared" si="95"/>
        <v/>
      </c>
      <c r="Z223" s="216" t="str">
        <f t="shared" si="96"/>
        <v/>
      </c>
      <c r="AA223" s="216" t="str">
        <f t="shared" si="97"/>
        <v/>
      </c>
      <c r="AB223" s="217" t="str">
        <f t="shared" si="98"/>
        <v/>
      </c>
      <c r="AC223" s="218" t="str">
        <f t="shared" si="99"/>
        <v/>
      </c>
      <c r="AD223" s="317"/>
    </row>
    <row r="224" spans="2:30" x14ac:dyDescent="0.35">
      <c r="B224" s="96">
        <v>190</v>
      </c>
      <c r="C224" s="304"/>
      <c r="D224" s="302"/>
      <c r="E224" s="302"/>
      <c r="F224" s="644"/>
      <c r="G224" s="645"/>
      <c r="H224" s="408" t="str">
        <f t="shared" si="83"/>
        <v/>
      </c>
      <c r="I224" s="408" t="str">
        <f t="shared" si="84"/>
        <v/>
      </c>
      <c r="J224" s="311"/>
      <c r="K224" s="409" t="str">
        <f t="shared" si="85"/>
        <v/>
      </c>
      <c r="L224" s="406" t="str">
        <f t="shared" si="86"/>
        <v/>
      </c>
      <c r="M224" s="407" t="str">
        <f t="shared" si="87"/>
        <v/>
      </c>
      <c r="N224" s="312"/>
      <c r="O224" s="302"/>
      <c r="P224" s="411" t="str">
        <f t="shared" si="88"/>
        <v/>
      </c>
      <c r="Q224" s="411" t="str">
        <f t="shared" si="89"/>
        <v/>
      </c>
      <c r="R224" s="313"/>
      <c r="S224" s="314"/>
      <c r="T224" s="215" t="str">
        <f t="shared" si="90"/>
        <v/>
      </c>
      <c r="U224" s="216" t="str">
        <f t="shared" si="91"/>
        <v/>
      </c>
      <c r="V224" s="216" t="str">
        <f t="shared" si="92"/>
        <v/>
      </c>
      <c r="W224" s="216" t="str">
        <f t="shared" si="93"/>
        <v/>
      </c>
      <c r="X224" s="216" t="str">
        <f t="shared" si="94"/>
        <v/>
      </c>
      <c r="Y224" s="216" t="str">
        <f t="shared" si="95"/>
        <v/>
      </c>
      <c r="Z224" s="216" t="str">
        <f t="shared" si="96"/>
        <v/>
      </c>
      <c r="AA224" s="216" t="str">
        <f t="shared" si="97"/>
        <v/>
      </c>
      <c r="AB224" s="217" t="str">
        <f t="shared" si="98"/>
        <v/>
      </c>
      <c r="AC224" s="218" t="str">
        <f t="shared" si="99"/>
        <v/>
      </c>
      <c r="AD224" s="317"/>
    </row>
    <row r="225" spans="2:30" x14ac:dyDescent="0.35">
      <c r="B225" s="96">
        <v>191</v>
      </c>
      <c r="C225" s="304"/>
      <c r="D225" s="302"/>
      <c r="E225" s="302"/>
      <c r="F225" s="644"/>
      <c r="G225" s="645"/>
      <c r="H225" s="408" t="str">
        <f t="shared" si="83"/>
        <v/>
      </c>
      <c r="I225" s="408" t="str">
        <f t="shared" si="84"/>
        <v/>
      </c>
      <c r="J225" s="311"/>
      <c r="K225" s="409" t="str">
        <f t="shared" si="85"/>
        <v/>
      </c>
      <c r="L225" s="406" t="str">
        <f t="shared" si="86"/>
        <v/>
      </c>
      <c r="M225" s="407" t="str">
        <f t="shared" si="87"/>
        <v/>
      </c>
      <c r="N225" s="312"/>
      <c r="O225" s="302"/>
      <c r="P225" s="411" t="str">
        <f t="shared" si="88"/>
        <v/>
      </c>
      <c r="Q225" s="411" t="str">
        <f t="shared" si="89"/>
        <v/>
      </c>
      <c r="R225" s="313"/>
      <c r="S225" s="314"/>
      <c r="T225" s="215" t="str">
        <f t="shared" si="90"/>
        <v/>
      </c>
      <c r="U225" s="216" t="str">
        <f t="shared" si="91"/>
        <v/>
      </c>
      <c r="V225" s="216" t="str">
        <f t="shared" si="92"/>
        <v/>
      </c>
      <c r="W225" s="216" t="str">
        <f t="shared" si="93"/>
        <v/>
      </c>
      <c r="X225" s="216" t="str">
        <f t="shared" si="94"/>
        <v/>
      </c>
      <c r="Y225" s="216" t="str">
        <f t="shared" si="95"/>
        <v/>
      </c>
      <c r="Z225" s="216" t="str">
        <f t="shared" si="96"/>
        <v/>
      </c>
      <c r="AA225" s="216" t="str">
        <f t="shared" si="97"/>
        <v/>
      </c>
      <c r="AB225" s="217" t="str">
        <f t="shared" si="98"/>
        <v/>
      </c>
      <c r="AC225" s="218" t="str">
        <f t="shared" si="99"/>
        <v/>
      </c>
      <c r="AD225" s="317"/>
    </row>
    <row r="226" spans="2:30" x14ac:dyDescent="0.35">
      <c r="B226" s="96">
        <v>192</v>
      </c>
      <c r="C226" s="304"/>
      <c r="D226" s="302"/>
      <c r="E226" s="302"/>
      <c r="F226" s="644"/>
      <c r="G226" s="645"/>
      <c r="H226" s="408" t="str">
        <f t="shared" si="83"/>
        <v/>
      </c>
      <c r="I226" s="408" t="str">
        <f t="shared" si="84"/>
        <v/>
      </c>
      <c r="J226" s="311"/>
      <c r="K226" s="409" t="str">
        <f t="shared" si="85"/>
        <v/>
      </c>
      <c r="L226" s="406" t="str">
        <f t="shared" si="86"/>
        <v/>
      </c>
      <c r="M226" s="407" t="str">
        <f t="shared" si="87"/>
        <v/>
      </c>
      <c r="N226" s="312"/>
      <c r="O226" s="302"/>
      <c r="P226" s="411" t="str">
        <f t="shared" si="88"/>
        <v/>
      </c>
      <c r="Q226" s="411" t="str">
        <f t="shared" si="89"/>
        <v/>
      </c>
      <c r="R226" s="313"/>
      <c r="S226" s="314"/>
      <c r="T226" s="215" t="str">
        <f t="shared" si="90"/>
        <v/>
      </c>
      <c r="U226" s="216" t="str">
        <f t="shared" si="91"/>
        <v/>
      </c>
      <c r="V226" s="216" t="str">
        <f t="shared" si="92"/>
        <v/>
      </c>
      <c r="W226" s="216" t="str">
        <f t="shared" si="93"/>
        <v/>
      </c>
      <c r="X226" s="216" t="str">
        <f t="shared" si="94"/>
        <v/>
      </c>
      <c r="Y226" s="216" t="str">
        <f t="shared" si="95"/>
        <v/>
      </c>
      <c r="Z226" s="216" t="str">
        <f t="shared" si="96"/>
        <v/>
      </c>
      <c r="AA226" s="216" t="str">
        <f t="shared" si="97"/>
        <v/>
      </c>
      <c r="AB226" s="217" t="str">
        <f t="shared" si="98"/>
        <v/>
      </c>
      <c r="AC226" s="218" t="str">
        <f t="shared" si="99"/>
        <v/>
      </c>
      <c r="AD226" s="317"/>
    </row>
    <row r="227" spans="2:30" x14ac:dyDescent="0.35">
      <c r="B227" s="96">
        <v>193</v>
      </c>
      <c r="C227" s="304"/>
      <c r="D227" s="302"/>
      <c r="E227" s="302"/>
      <c r="F227" s="644"/>
      <c r="G227" s="645"/>
      <c r="H227" s="408" t="str">
        <f t="shared" si="83"/>
        <v/>
      </c>
      <c r="I227" s="408" t="str">
        <f t="shared" si="84"/>
        <v/>
      </c>
      <c r="J227" s="311"/>
      <c r="K227" s="409" t="str">
        <f t="shared" ref="K227:K234" si="100">IFERROR(IF(IntExt="Interior",sqft,VLOOKUP(SpaceType,ExteriorTable,9,FALSE)),"")</f>
        <v/>
      </c>
      <c r="L227" s="406" t="str">
        <f t="shared" ref="L227:L234" si="101">IF(ISBLANK(SpaceType),"",(IF(IntExt="Interior",VLOOKUP(SpaceType,InteriorTable,5,FALSE),IF(IntExt="Exterior",VLOOKUP(SpaceType,ExteriorTable,LightingZone+2,FALSE),"ERROR"))))</f>
        <v/>
      </c>
      <c r="M227" s="407" t="str">
        <f t="shared" ref="M227:M234" si="102">IFERROR(LPDb*AreaSize/1000,"")</f>
        <v/>
      </c>
      <c r="N227" s="312"/>
      <c r="O227" s="302"/>
      <c r="P227" s="411" t="str">
        <f t="shared" ref="P227:P234" si="103">IFERROR(VLOOKUP(FixtureNum,FixtureTable,5,FALSE),"")</f>
        <v/>
      </c>
      <c r="Q227" s="411" t="str">
        <f t="shared" ref="Q227:Q234" si="104">IFERROR(WperFixture*ProposedQty/1000,"")</f>
        <v/>
      </c>
      <c r="R227" s="313"/>
      <c r="S227" s="314"/>
      <c r="T227" s="215" t="str">
        <f t="shared" ref="T227:T234" si="105">IFERROR(IF(IntExt="Interior",kWbase-kWee,""),"")</f>
        <v/>
      </c>
      <c r="U227" s="216" t="str">
        <f t="shared" ref="U227:U234" si="106">IFERROR(IF(IntExt="Exterior",kWbase-kWee,""),"")</f>
        <v/>
      </c>
      <c r="V227" s="216" t="str">
        <f t="shared" ref="V227:V234" si="107">IFERROR(IF(IntExt="Exterior",0,VLOOKUP(SpaceType,InteriorTable,2,FALSE)),"")</f>
        <v/>
      </c>
      <c r="W227" s="216" t="str">
        <f t="shared" ref="W227:W234" si="108">IFERROR(IF(OR(IntExt="Exterior",Cooling="Not Cooled"),1,VLOOKUP(SpaceType,InteriorTable,6,FALSE)),"")</f>
        <v/>
      </c>
      <c r="X227" s="216" t="str">
        <f t="shared" ref="X227:X234" si="109">IFERROR(IF(OR(IntExt="Exterior",Cooling="Not Cooled"),1,VLOOKUP(SpaceType,InteriorTable,7,FALSE)),"")</f>
        <v/>
      </c>
      <c r="Y227" s="216" t="str">
        <f t="shared" ref="Y227:Y234" si="110">IF(ISBLANK(IntExt),"",IFERROR(VLOOKUP(SpaceType,ESFtable,2,FALSE), IF(IntExt="Interior",VLOOKUP("Interior|Occupancy",ESFtable,2,FALSE),VLOOKUP("Exterior|Setback",ESFtable,2,FALSE))))</f>
        <v/>
      </c>
      <c r="Z227" s="216" t="str">
        <f t="shared" ref="Z227:Z234" si="111">IFERROR(VLOOKUP(IntExt&amp;"|"&amp;PropControlType,ESFtable,2,FALSE),ESFb)</f>
        <v/>
      </c>
      <c r="AA227" s="216" t="str">
        <f t="shared" ref="AA227:AA234" si="112">IF(IntExt="Interior",VLOOKUP(SpaceType,InteriorTable,3,FALSE),IF(IntExt="Exterior",VLOOKUP(IntExt,InteriorTable,3,FALSE),""))</f>
        <v/>
      </c>
      <c r="AB227" s="217" t="str">
        <f t="shared" ref="AB227:AB234" si="113">IFERROR((kWbase-kWee)*CF*WHFd,"")</f>
        <v/>
      </c>
      <c r="AC227" s="218" t="str">
        <f t="shared" ref="AC227:AC234" si="114">IFERROR(EFLH_deemed*WHFe*(kWbase*(1-ESFb)-kWee*(1-ESFee)),"")</f>
        <v/>
      </c>
      <c r="AD227" s="317"/>
    </row>
    <row r="228" spans="2:30" x14ac:dyDescent="0.35">
      <c r="B228" s="96">
        <v>194</v>
      </c>
      <c r="C228" s="304"/>
      <c r="D228" s="302"/>
      <c r="E228" s="302"/>
      <c r="F228" s="644"/>
      <c r="G228" s="645"/>
      <c r="H228" s="408" t="str">
        <f t="shared" ref="H228:H234" si="115">IF(E228="Exterior","N/A","")</f>
        <v/>
      </c>
      <c r="I228" s="408" t="str">
        <f t="shared" ref="I228:I234" si="116">IF(E228="Exterior","N/A","")</f>
        <v/>
      </c>
      <c r="J228" s="311"/>
      <c r="K228" s="409" t="str">
        <f t="shared" si="100"/>
        <v/>
      </c>
      <c r="L228" s="406" t="str">
        <f t="shared" si="101"/>
        <v/>
      </c>
      <c r="M228" s="407" t="str">
        <f t="shared" si="102"/>
        <v/>
      </c>
      <c r="N228" s="312"/>
      <c r="O228" s="302"/>
      <c r="P228" s="411" t="str">
        <f t="shared" si="103"/>
        <v/>
      </c>
      <c r="Q228" s="411" t="str">
        <f t="shared" si="104"/>
        <v/>
      </c>
      <c r="R228" s="313"/>
      <c r="S228" s="314"/>
      <c r="T228" s="215" t="str">
        <f t="shared" si="105"/>
        <v/>
      </c>
      <c r="U228" s="216" t="str">
        <f t="shared" si="106"/>
        <v/>
      </c>
      <c r="V228" s="216" t="str">
        <f t="shared" si="107"/>
        <v/>
      </c>
      <c r="W228" s="216" t="str">
        <f t="shared" si="108"/>
        <v/>
      </c>
      <c r="X228" s="216" t="str">
        <f t="shared" si="109"/>
        <v/>
      </c>
      <c r="Y228" s="216" t="str">
        <f t="shared" si="110"/>
        <v/>
      </c>
      <c r="Z228" s="216" t="str">
        <f t="shared" si="111"/>
        <v/>
      </c>
      <c r="AA228" s="216" t="str">
        <f t="shared" si="112"/>
        <v/>
      </c>
      <c r="AB228" s="217" t="str">
        <f t="shared" si="113"/>
        <v/>
      </c>
      <c r="AC228" s="218" t="str">
        <f t="shared" si="114"/>
        <v/>
      </c>
      <c r="AD228" s="317"/>
    </row>
    <row r="229" spans="2:30" x14ac:dyDescent="0.35">
      <c r="B229" s="96">
        <v>195</v>
      </c>
      <c r="C229" s="304"/>
      <c r="D229" s="302"/>
      <c r="E229" s="302"/>
      <c r="F229" s="644"/>
      <c r="G229" s="645"/>
      <c r="H229" s="408" t="str">
        <f t="shared" si="115"/>
        <v/>
      </c>
      <c r="I229" s="408" t="str">
        <f t="shared" si="116"/>
        <v/>
      </c>
      <c r="J229" s="311"/>
      <c r="K229" s="409" t="str">
        <f t="shared" si="100"/>
        <v/>
      </c>
      <c r="L229" s="406" t="str">
        <f t="shared" si="101"/>
        <v/>
      </c>
      <c r="M229" s="407" t="str">
        <f t="shared" si="102"/>
        <v/>
      </c>
      <c r="N229" s="312"/>
      <c r="O229" s="302"/>
      <c r="P229" s="411" t="str">
        <f t="shared" si="103"/>
        <v/>
      </c>
      <c r="Q229" s="411" t="str">
        <f t="shared" si="104"/>
        <v/>
      </c>
      <c r="R229" s="313"/>
      <c r="S229" s="314"/>
      <c r="T229" s="215" t="str">
        <f t="shared" si="105"/>
        <v/>
      </c>
      <c r="U229" s="216" t="str">
        <f t="shared" si="106"/>
        <v/>
      </c>
      <c r="V229" s="216" t="str">
        <f t="shared" si="107"/>
        <v/>
      </c>
      <c r="W229" s="216" t="str">
        <f t="shared" si="108"/>
        <v/>
      </c>
      <c r="X229" s="216" t="str">
        <f t="shared" si="109"/>
        <v/>
      </c>
      <c r="Y229" s="216" t="str">
        <f t="shared" si="110"/>
        <v/>
      </c>
      <c r="Z229" s="216" t="str">
        <f t="shared" si="111"/>
        <v/>
      </c>
      <c r="AA229" s="216" t="str">
        <f t="shared" si="112"/>
        <v/>
      </c>
      <c r="AB229" s="217" t="str">
        <f t="shared" si="113"/>
        <v/>
      </c>
      <c r="AC229" s="218" t="str">
        <f t="shared" si="114"/>
        <v/>
      </c>
      <c r="AD229" s="317"/>
    </row>
    <row r="230" spans="2:30" x14ac:dyDescent="0.35">
      <c r="B230" s="96">
        <v>196</v>
      </c>
      <c r="C230" s="304"/>
      <c r="D230" s="302"/>
      <c r="E230" s="302"/>
      <c r="F230" s="644"/>
      <c r="G230" s="645"/>
      <c r="H230" s="408" t="str">
        <f t="shared" si="115"/>
        <v/>
      </c>
      <c r="I230" s="408" t="str">
        <f t="shared" si="116"/>
        <v/>
      </c>
      <c r="J230" s="311"/>
      <c r="K230" s="409" t="str">
        <f t="shared" si="100"/>
        <v/>
      </c>
      <c r="L230" s="406" t="str">
        <f t="shared" si="101"/>
        <v/>
      </c>
      <c r="M230" s="407" t="str">
        <f t="shared" si="102"/>
        <v/>
      </c>
      <c r="N230" s="312"/>
      <c r="O230" s="302"/>
      <c r="P230" s="411" t="str">
        <f t="shared" si="103"/>
        <v/>
      </c>
      <c r="Q230" s="411" t="str">
        <f t="shared" si="104"/>
        <v/>
      </c>
      <c r="R230" s="313"/>
      <c r="S230" s="314"/>
      <c r="T230" s="215" t="str">
        <f t="shared" si="105"/>
        <v/>
      </c>
      <c r="U230" s="216" t="str">
        <f t="shared" si="106"/>
        <v/>
      </c>
      <c r="V230" s="216" t="str">
        <f t="shared" si="107"/>
        <v/>
      </c>
      <c r="W230" s="216" t="str">
        <f t="shared" si="108"/>
        <v/>
      </c>
      <c r="X230" s="216" t="str">
        <f t="shared" si="109"/>
        <v/>
      </c>
      <c r="Y230" s="216" t="str">
        <f t="shared" si="110"/>
        <v/>
      </c>
      <c r="Z230" s="216" t="str">
        <f t="shared" si="111"/>
        <v/>
      </c>
      <c r="AA230" s="216" t="str">
        <f t="shared" si="112"/>
        <v/>
      </c>
      <c r="AB230" s="217" t="str">
        <f t="shared" si="113"/>
        <v/>
      </c>
      <c r="AC230" s="218" t="str">
        <f t="shared" si="114"/>
        <v/>
      </c>
      <c r="AD230" s="317"/>
    </row>
    <row r="231" spans="2:30" x14ac:dyDescent="0.35">
      <c r="B231" s="96">
        <v>197</v>
      </c>
      <c r="C231" s="304"/>
      <c r="D231" s="302"/>
      <c r="E231" s="302"/>
      <c r="F231" s="644"/>
      <c r="G231" s="645"/>
      <c r="H231" s="408" t="str">
        <f t="shared" si="115"/>
        <v/>
      </c>
      <c r="I231" s="408" t="str">
        <f t="shared" si="116"/>
        <v/>
      </c>
      <c r="J231" s="311"/>
      <c r="K231" s="409" t="str">
        <f t="shared" si="100"/>
        <v/>
      </c>
      <c r="L231" s="406" t="str">
        <f t="shared" si="101"/>
        <v/>
      </c>
      <c r="M231" s="407" t="str">
        <f t="shared" si="102"/>
        <v/>
      </c>
      <c r="N231" s="312"/>
      <c r="O231" s="302"/>
      <c r="P231" s="411" t="str">
        <f t="shared" si="103"/>
        <v/>
      </c>
      <c r="Q231" s="411" t="str">
        <f t="shared" si="104"/>
        <v/>
      </c>
      <c r="R231" s="313"/>
      <c r="S231" s="314"/>
      <c r="T231" s="215" t="str">
        <f t="shared" si="105"/>
        <v/>
      </c>
      <c r="U231" s="216" t="str">
        <f t="shared" si="106"/>
        <v/>
      </c>
      <c r="V231" s="216" t="str">
        <f t="shared" si="107"/>
        <v/>
      </c>
      <c r="W231" s="216" t="str">
        <f t="shared" si="108"/>
        <v/>
      </c>
      <c r="X231" s="216" t="str">
        <f t="shared" si="109"/>
        <v/>
      </c>
      <c r="Y231" s="216" t="str">
        <f t="shared" si="110"/>
        <v/>
      </c>
      <c r="Z231" s="216" t="str">
        <f t="shared" si="111"/>
        <v/>
      </c>
      <c r="AA231" s="216" t="str">
        <f t="shared" si="112"/>
        <v/>
      </c>
      <c r="AB231" s="217" t="str">
        <f t="shared" si="113"/>
        <v/>
      </c>
      <c r="AC231" s="218" t="str">
        <f t="shared" si="114"/>
        <v/>
      </c>
      <c r="AD231" s="317"/>
    </row>
    <row r="232" spans="2:30" x14ac:dyDescent="0.35">
      <c r="B232" s="96">
        <v>198</v>
      </c>
      <c r="C232" s="304"/>
      <c r="D232" s="302"/>
      <c r="E232" s="302"/>
      <c r="F232" s="644"/>
      <c r="G232" s="645"/>
      <c r="H232" s="408" t="str">
        <f t="shared" si="115"/>
        <v/>
      </c>
      <c r="I232" s="408" t="str">
        <f t="shared" si="116"/>
        <v/>
      </c>
      <c r="J232" s="311"/>
      <c r="K232" s="409" t="str">
        <f t="shared" si="100"/>
        <v/>
      </c>
      <c r="L232" s="406" t="str">
        <f t="shared" si="101"/>
        <v/>
      </c>
      <c r="M232" s="407" t="str">
        <f t="shared" si="102"/>
        <v/>
      </c>
      <c r="N232" s="312"/>
      <c r="O232" s="302"/>
      <c r="P232" s="411" t="str">
        <f t="shared" si="103"/>
        <v/>
      </c>
      <c r="Q232" s="411" t="str">
        <f t="shared" si="104"/>
        <v/>
      </c>
      <c r="R232" s="313"/>
      <c r="S232" s="314"/>
      <c r="T232" s="215" t="str">
        <f t="shared" si="105"/>
        <v/>
      </c>
      <c r="U232" s="216" t="str">
        <f t="shared" si="106"/>
        <v/>
      </c>
      <c r="V232" s="216" t="str">
        <f t="shared" si="107"/>
        <v/>
      </c>
      <c r="W232" s="216" t="str">
        <f t="shared" si="108"/>
        <v/>
      </c>
      <c r="X232" s="216" t="str">
        <f t="shared" si="109"/>
        <v/>
      </c>
      <c r="Y232" s="216" t="str">
        <f t="shared" si="110"/>
        <v/>
      </c>
      <c r="Z232" s="216" t="str">
        <f t="shared" si="111"/>
        <v/>
      </c>
      <c r="AA232" s="216" t="str">
        <f t="shared" si="112"/>
        <v/>
      </c>
      <c r="AB232" s="217" t="str">
        <f t="shared" si="113"/>
        <v/>
      </c>
      <c r="AC232" s="218" t="str">
        <f t="shared" si="114"/>
        <v/>
      </c>
      <c r="AD232" s="317"/>
    </row>
    <row r="233" spans="2:30" x14ac:dyDescent="0.35">
      <c r="B233" s="96">
        <v>199</v>
      </c>
      <c r="C233" s="304"/>
      <c r="D233" s="302"/>
      <c r="E233" s="302"/>
      <c r="F233" s="644"/>
      <c r="G233" s="645"/>
      <c r="H233" s="408" t="str">
        <f t="shared" si="115"/>
        <v/>
      </c>
      <c r="I233" s="408" t="str">
        <f t="shared" si="116"/>
        <v/>
      </c>
      <c r="J233" s="311"/>
      <c r="K233" s="409" t="str">
        <f t="shared" si="100"/>
        <v/>
      </c>
      <c r="L233" s="406" t="str">
        <f t="shared" si="101"/>
        <v/>
      </c>
      <c r="M233" s="407" t="str">
        <f t="shared" si="102"/>
        <v/>
      </c>
      <c r="N233" s="312"/>
      <c r="O233" s="302"/>
      <c r="P233" s="411" t="str">
        <f t="shared" si="103"/>
        <v/>
      </c>
      <c r="Q233" s="411" t="str">
        <f t="shared" si="104"/>
        <v/>
      </c>
      <c r="R233" s="313"/>
      <c r="S233" s="314"/>
      <c r="T233" s="215" t="str">
        <f t="shared" si="105"/>
        <v/>
      </c>
      <c r="U233" s="216" t="str">
        <f t="shared" si="106"/>
        <v/>
      </c>
      <c r="V233" s="216" t="str">
        <f t="shared" si="107"/>
        <v/>
      </c>
      <c r="W233" s="216" t="str">
        <f t="shared" si="108"/>
        <v/>
      </c>
      <c r="X233" s="216" t="str">
        <f t="shared" si="109"/>
        <v/>
      </c>
      <c r="Y233" s="216" t="str">
        <f t="shared" si="110"/>
        <v/>
      </c>
      <c r="Z233" s="216" t="str">
        <f t="shared" si="111"/>
        <v/>
      </c>
      <c r="AA233" s="216" t="str">
        <f t="shared" si="112"/>
        <v/>
      </c>
      <c r="AB233" s="217" t="str">
        <f t="shared" si="113"/>
        <v/>
      </c>
      <c r="AC233" s="218" t="str">
        <f t="shared" si="114"/>
        <v/>
      </c>
      <c r="AD233" s="317"/>
    </row>
    <row r="234" spans="2:30" ht="15" thickBot="1" x14ac:dyDescent="0.4">
      <c r="B234" s="133">
        <v>200</v>
      </c>
      <c r="C234" s="304"/>
      <c r="D234" s="302"/>
      <c r="E234" s="302"/>
      <c r="F234" s="644"/>
      <c r="G234" s="645"/>
      <c r="H234" s="408" t="str">
        <f t="shared" si="115"/>
        <v/>
      </c>
      <c r="I234" s="408" t="str">
        <f t="shared" si="116"/>
        <v/>
      </c>
      <c r="J234" s="311"/>
      <c r="K234" s="409" t="str">
        <f t="shared" si="100"/>
        <v/>
      </c>
      <c r="L234" s="406" t="str">
        <f t="shared" si="101"/>
        <v/>
      </c>
      <c r="M234" s="407" t="str">
        <f t="shared" si="102"/>
        <v/>
      </c>
      <c r="N234" s="312"/>
      <c r="O234" s="302"/>
      <c r="P234" s="411" t="str">
        <f t="shared" si="103"/>
        <v/>
      </c>
      <c r="Q234" s="411" t="str">
        <f t="shared" si="104"/>
        <v/>
      </c>
      <c r="R234" s="313"/>
      <c r="S234" s="314"/>
      <c r="T234" s="215" t="str">
        <f t="shared" si="105"/>
        <v/>
      </c>
      <c r="U234" s="216" t="str">
        <f t="shared" si="106"/>
        <v/>
      </c>
      <c r="V234" s="216" t="str">
        <f t="shared" si="107"/>
        <v/>
      </c>
      <c r="W234" s="216" t="str">
        <f t="shared" si="108"/>
        <v/>
      </c>
      <c r="X234" s="216" t="str">
        <f t="shared" si="109"/>
        <v/>
      </c>
      <c r="Y234" s="216" t="str">
        <f t="shared" si="110"/>
        <v/>
      </c>
      <c r="Z234" s="216" t="str">
        <f t="shared" si="111"/>
        <v/>
      </c>
      <c r="AA234" s="216" t="str">
        <f t="shared" si="112"/>
        <v/>
      </c>
      <c r="AB234" s="217" t="str">
        <f t="shared" si="113"/>
        <v/>
      </c>
      <c r="AC234" s="253" t="str">
        <f t="shared" si="114"/>
        <v/>
      </c>
      <c r="AD234" s="318"/>
    </row>
    <row r="235" spans="2:30" ht="15.5" thickTop="1" thickBot="1" x14ac:dyDescent="0.4">
      <c r="B235" s="134"/>
      <c r="C235" s="135"/>
      <c r="D235" s="134"/>
      <c r="E235" s="134"/>
      <c r="F235" s="679"/>
      <c r="G235" s="679"/>
      <c r="H235" s="135"/>
      <c r="I235" s="135"/>
      <c r="J235" s="198">
        <f>SUMIFS(J35:J234,E35:E234,"Interior",K35:K234,"ft"&amp;CHAR(178))</f>
        <v>0</v>
      </c>
      <c r="K235" s="199" t="s">
        <v>664</v>
      </c>
      <c r="L235" s="136"/>
      <c r="M235" s="136"/>
      <c r="N235" s="136"/>
      <c r="O235" s="134"/>
      <c r="P235" s="136"/>
      <c r="Q235" s="136"/>
      <c r="R235" s="136"/>
      <c r="S235" s="134"/>
      <c r="T235" s="136"/>
      <c r="U235" s="136"/>
      <c r="V235" s="136"/>
      <c r="W235" s="136"/>
      <c r="X235" s="136"/>
      <c r="Y235" s="136"/>
      <c r="Z235" s="136"/>
      <c r="AA235" s="136"/>
      <c r="AB235" s="251" t="s">
        <v>680</v>
      </c>
      <c r="AC235" s="254">
        <f>SUMIF(IntExt,"Interior",kWhSavings)</f>
        <v>0</v>
      </c>
    </row>
    <row r="236" spans="2:30" ht="15.5" thickTop="1" thickBot="1" x14ac:dyDescent="0.4">
      <c r="J236" s="198">
        <f>SUMIFS(J35:J234,E35:E234,"Exterior",K35:K234,"ft"&amp;CHAR(178))</f>
        <v>0</v>
      </c>
      <c r="K236" s="200" t="s">
        <v>665</v>
      </c>
      <c r="AB236" s="252" t="s">
        <v>681</v>
      </c>
      <c r="AC236" s="255">
        <f>SUMIF(IntExt,"Exterior",kWhSavings)</f>
        <v>0</v>
      </c>
      <c r="AD236" s="16"/>
    </row>
    <row r="237" spans="2:30" ht="15" thickTop="1" x14ac:dyDescent="0.35">
      <c r="AB237" s="235" t="s">
        <v>701</v>
      </c>
      <c r="AC237" s="256">
        <f>SUMIFS(kWhSavings,IntExt,"Interior",isEligible,{"N","n"})</f>
        <v>0</v>
      </c>
    </row>
    <row r="238" spans="2:30" x14ac:dyDescent="0.35">
      <c r="AB238" s="235" t="s">
        <v>702</v>
      </c>
      <c r="AC238" s="257">
        <f>SUMIFS(kWhSavings,IntExt,"Exterior",isEligible,{"N","n"})</f>
        <v>0</v>
      </c>
    </row>
    <row r="239" spans="2:30" x14ac:dyDescent="0.35">
      <c r="AC239" s="3"/>
      <c r="AD239" s="3"/>
    </row>
    <row r="240" spans="2:30" x14ac:dyDescent="0.35">
      <c r="AC240" s="219"/>
      <c r="AD240" s="220"/>
    </row>
  </sheetData>
  <sheetProtection algorithmName="SHA-512" hashValue="+vHcVVd5swAtAyfFy3Ptn52fcGTDWKs1PBqMcPhZMzUK2LEDkDIsxH16rrY14PMMqHYx+fLJUgTxWAWk6CUjkA==" saltValue="QiHFRFgBdaSKai5m5OdpHg==" spinCount="100000" sheet="1" selectLockedCells="1"/>
  <mergeCells count="228">
    <mergeCell ref="T30:AC30"/>
    <mergeCell ref="F231:G231"/>
    <mergeCell ref="F232:G232"/>
    <mergeCell ref="F233:G233"/>
    <mergeCell ref="F234:G234"/>
    <mergeCell ref="F235:G235"/>
    <mergeCell ref="F226:G226"/>
    <mergeCell ref="F227:G227"/>
    <mergeCell ref="F228:G228"/>
    <mergeCell ref="F229:G229"/>
    <mergeCell ref="F230:G230"/>
    <mergeCell ref="F221:G221"/>
    <mergeCell ref="F222:G222"/>
    <mergeCell ref="F223:G223"/>
    <mergeCell ref="F224:G224"/>
    <mergeCell ref="F225:G225"/>
    <mergeCell ref="F216:G216"/>
    <mergeCell ref="F217:G217"/>
    <mergeCell ref="F218:G218"/>
    <mergeCell ref="F219:G219"/>
    <mergeCell ref="F220:G220"/>
    <mergeCell ref="F211:G211"/>
    <mergeCell ref="F212:G212"/>
    <mergeCell ref="F213:G213"/>
    <mergeCell ref="F214:G214"/>
    <mergeCell ref="F215:G215"/>
    <mergeCell ref="F206:G206"/>
    <mergeCell ref="F207:G207"/>
    <mergeCell ref="F208:G208"/>
    <mergeCell ref="F209:G209"/>
    <mergeCell ref="F210:G210"/>
    <mergeCell ref="F201:G201"/>
    <mergeCell ref="F202:G202"/>
    <mergeCell ref="F203:G203"/>
    <mergeCell ref="F204:G204"/>
    <mergeCell ref="F205:G205"/>
    <mergeCell ref="F196:G196"/>
    <mergeCell ref="F197:G197"/>
    <mergeCell ref="F198:G198"/>
    <mergeCell ref="F199:G199"/>
    <mergeCell ref="F200:G200"/>
    <mergeCell ref="F191:G191"/>
    <mergeCell ref="F192:G192"/>
    <mergeCell ref="F193:G193"/>
    <mergeCell ref="F194:G194"/>
    <mergeCell ref="F195:G195"/>
    <mergeCell ref="F186:G186"/>
    <mergeCell ref="F187:G187"/>
    <mergeCell ref="F188:G188"/>
    <mergeCell ref="F189:G189"/>
    <mergeCell ref="F190:G190"/>
    <mergeCell ref="F181:G181"/>
    <mergeCell ref="F182:G182"/>
    <mergeCell ref="F183:G183"/>
    <mergeCell ref="F184:G184"/>
    <mergeCell ref="F185:G185"/>
    <mergeCell ref="F176:G176"/>
    <mergeCell ref="F177:G177"/>
    <mergeCell ref="F178:G178"/>
    <mergeCell ref="F179:G179"/>
    <mergeCell ref="F180:G180"/>
    <mergeCell ref="F171:G171"/>
    <mergeCell ref="F172:G172"/>
    <mergeCell ref="F173:G173"/>
    <mergeCell ref="F174:G174"/>
    <mergeCell ref="F175:G175"/>
    <mergeCell ref="F166:G166"/>
    <mergeCell ref="F167:G167"/>
    <mergeCell ref="F168:G168"/>
    <mergeCell ref="F169:G169"/>
    <mergeCell ref="F170:G170"/>
    <mergeCell ref="F161:G161"/>
    <mergeCell ref="F162:G162"/>
    <mergeCell ref="F163:G163"/>
    <mergeCell ref="F164:G164"/>
    <mergeCell ref="F165:G165"/>
    <mergeCell ref="F156:G156"/>
    <mergeCell ref="F157:G157"/>
    <mergeCell ref="F158:G158"/>
    <mergeCell ref="F159:G159"/>
    <mergeCell ref="F160:G160"/>
    <mergeCell ref="F151:G151"/>
    <mergeCell ref="F152:G152"/>
    <mergeCell ref="F153:G153"/>
    <mergeCell ref="F154:G154"/>
    <mergeCell ref="F155:G155"/>
    <mergeCell ref="F146:G146"/>
    <mergeCell ref="F147:G147"/>
    <mergeCell ref="F148:G148"/>
    <mergeCell ref="F149:G149"/>
    <mergeCell ref="F150:G150"/>
    <mergeCell ref="F141:G141"/>
    <mergeCell ref="F142:G142"/>
    <mergeCell ref="F143:G143"/>
    <mergeCell ref="F144:G144"/>
    <mergeCell ref="F145:G145"/>
    <mergeCell ref="F136:G136"/>
    <mergeCell ref="F137:G137"/>
    <mergeCell ref="F138:G138"/>
    <mergeCell ref="F139:G139"/>
    <mergeCell ref="F140:G140"/>
    <mergeCell ref="F131:G131"/>
    <mergeCell ref="F132:G132"/>
    <mergeCell ref="F133:G133"/>
    <mergeCell ref="F134:G134"/>
    <mergeCell ref="F135:G135"/>
    <mergeCell ref="F126:G126"/>
    <mergeCell ref="F127:G127"/>
    <mergeCell ref="F128:G128"/>
    <mergeCell ref="F129:G129"/>
    <mergeCell ref="F130:G130"/>
    <mergeCell ref="F121:G121"/>
    <mergeCell ref="F122:G122"/>
    <mergeCell ref="F123:G123"/>
    <mergeCell ref="F124:G124"/>
    <mergeCell ref="F125:G125"/>
    <mergeCell ref="F116:G116"/>
    <mergeCell ref="F117:G117"/>
    <mergeCell ref="F118:G118"/>
    <mergeCell ref="F119:G119"/>
    <mergeCell ref="F120:G120"/>
    <mergeCell ref="F111:G111"/>
    <mergeCell ref="F112:G112"/>
    <mergeCell ref="F113:G113"/>
    <mergeCell ref="F114:G114"/>
    <mergeCell ref="F115:G115"/>
    <mergeCell ref="F106:G106"/>
    <mergeCell ref="F107:G107"/>
    <mergeCell ref="F108:G108"/>
    <mergeCell ref="F109:G109"/>
    <mergeCell ref="F110:G110"/>
    <mergeCell ref="F101:G101"/>
    <mergeCell ref="F102:G102"/>
    <mergeCell ref="F103:G103"/>
    <mergeCell ref="F104:G104"/>
    <mergeCell ref="F105:G105"/>
    <mergeCell ref="F96:G96"/>
    <mergeCell ref="F97:G97"/>
    <mergeCell ref="F98:G98"/>
    <mergeCell ref="F99:G99"/>
    <mergeCell ref="F100:G100"/>
    <mergeCell ref="F91:G91"/>
    <mergeCell ref="F92:G92"/>
    <mergeCell ref="F93:G93"/>
    <mergeCell ref="F94:G94"/>
    <mergeCell ref="F95:G95"/>
    <mergeCell ref="F86:G86"/>
    <mergeCell ref="F87:G87"/>
    <mergeCell ref="F88:G88"/>
    <mergeCell ref="F89:G89"/>
    <mergeCell ref="F90:G90"/>
    <mergeCell ref="F81:G81"/>
    <mergeCell ref="F82:G82"/>
    <mergeCell ref="F83:G83"/>
    <mergeCell ref="F84:G84"/>
    <mergeCell ref="F85:G85"/>
    <mergeCell ref="F76:G76"/>
    <mergeCell ref="F77:G77"/>
    <mergeCell ref="F78:G78"/>
    <mergeCell ref="F79:G79"/>
    <mergeCell ref="F80:G80"/>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F60:G60"/>
    <mergeCell ref="F51:G51"/>
    <mergeCell ref="F52:G52"/>
    <mergeCell ref="F53:G53"/>
    <mergeCell ref="F54:G54"/>
    <mergeCell ref="F55:G55"/>
    <mergeCell ref="F47:G47"/>
    <mergeCell ref="F48:G48"/>
    <mergeCell ref="F49:G49"/>
    <mergeCell ref="F50:G50"/>
    <mergeCell ref="D19:H19"/>
    <mergeCell ref="D20:H20"/>
    <mergeCell ref="J31:K31"/>
    <mergeCell ref="F41:G41"/>
    <mergeCell ref="F42:G42"/>
    <mergeCell ref="F43:G43"/>
    <mergeCell ref="F44:G44"/>
    <mergeCell ref="F45:G45"/>
    <mergeCell ref="F36:G36"/>
    <mergeCell ref="F37:G37"/>
    <mergeCell ref="F38:G38"/>
    <mergeCell ref="F39:G39"/>
    <mergeCell ref="F40:G40"/>
    <mergeCell ref="G27:J27"/>
    <mergeCell ref="AI56:AI68"/>
    <mergeCell ref="AI69:AI75"/>
    <mergeCell ref="AK53:AO53"/>
    <mergeCell ref="F32:G32"/>
    <mergeCell ref="F33:G33"/>
    <mergeCell ref="F34:G34"/>
    <mergeCell ref="F35:G35"/>
    <mergeCell ref="J2:S15"/>
    <mergeCell ref="B3:I15"/>
    <mergeCell ref="B2:I2"/>
    <mergeCell ref="B17:I17"/>
    <mergeCell ref="B24:I24"/>
    <mergeCell ref="B29:I29"/>
    <mergeCell ref="B30:K30"/>
    <mergeCell ref="L30:M30"/>
    <mergeCell ref="AI4:AI45"/>
    <mergeCell ref="D18:F18"/>
    <mergeCell ref="C27:D27"/>
    <mergeCell ref="C26:D26"/>
    <mergeCell ref="D21:H21"/>
    <mergeCell ref="D22:H22"/>
    <mergeCell ref="N30:S30"/>
    <mergeCell ref="F31:G31"/>
    <mergeCell ref="F46:G46"/>
  </mergeCells>
  <conditionalFormatting sqref="G27">
    <cfRule type="expression" dxfId="81" priority="5">
      <formula>ROUND($C$27,0)&lt;&gt;ROUND($F$27,0)</formula>
    </cfRule>
    <cfRule type="expression" dxfId="80" priority="6">
      <formula>ROUND($C$27,0)=ROUND($F$27,0)</formula>
    </cfRule>
  </conditionalFormatting>
  <conditionalFormatting sqref="E27">
    <cfRule type="expression" dxfId="79" priority="1">
      <formula>ROUND($C$27,0)&lt;&gt;ROUND($F$27,0)</formula>
    </cfRule>
    <cfRule type="expression" dxfId="78" priority="2">
      <formula>ROUND($C$27,0)=ROUND($F$27,0)</formula>
    </cfRule>
  </conditionalFormatting>
  <dataValidations count="12">
    <dataValidation type="list" allowBlank="1" showInputMessage="1" showErrorMessage="1" sqref="O32:O34 O235" xr:uid="{00000000-0002-0000-0600-000000000000}">
      <formula1>FixtureNumbers</formula1>
    </dataValidation>
    <dataValidation type="list" allowBlank="1" showInputMessage="1" showErrorMessage="1" sqref="E32:E34" xr:uid="{00000000-0002-0000-0600-000001000000}">
      <formula1>InOrOut</formula1>
    </dataValidation>
    <dataValidation type="list" allowBlank="1" showInputMessage="1" showErrorMessage="1" sqref="F32:G34" xr:uid="{00000000-0002-0000-0600-000002000000}">
      <formula1>INDIRECT(E32&amp;"Types")</formula1>
    </dataValidation>
    <dataValidation type="list" allowBlank="1" showInputMessage="1" showErrorMessage="1" sqref="H32:H34 H234" xr:uid="{00000000-0002-0000-0600-000003000000}">
      <formula1>INDIRECT(E32&amp;"Cooling")</formula1>
    </dataValidation>
    <dataValidation type="list" allowBlank="1" showInputMessage="1" showErrorMessage="1" sqref="I32:I34" xr:uid="{00000000-0002-0000-0600-000004000000}">
      <formula1>INDIRECT(E32&amp;"Heating")</formula1>
    </dataValidation>
    <dataValidation type="list" allowBlank="1" showInputMessage="1" showErrorMessage="1" sqref="R32:R34" xr:uid="{00000000-0002-0000-0600-000005000000}">
      <formula1>ControlTypes</formula1>
    </dataValidation>
    <dataValidation type="list" allowBlank="1" showInputMessage="1" showErrorMessage="1" error="Please select from the drop-down list. (click on the cell, then click on the downward triangle to the right of the cell)" sqref="E35:E234" xr:uid="{00000000-0002-0000-0600-000006000000}">
      <formula1>InOrOut</formula1>
    </dataValidation>
    <dataValidation type="list" allowBlank="1" showInputMessage="1" showErrorMessage="1" error="Please select from the drop-down list. (click on the cell, then click on the downward triangle to the right of the cell)" sqref="F35:G234" xr:uid="{00000000-0002-0000-0600-000007000000}">
      <formula1>INDIRECT(E35&amp;"Types")</formula1>
    </dataValidation>
    <dataValidation type="list" allowBlank="1" showInputMessage="1" showErrorMessage="1" error="Please select from the drop-down list. (click on the cell, then click on the downward triangle to the right of the cell)" sqref="H35:H233" xr:uid="{00000000-0002-0000-0600-000008000000}">
      <formula1>INDIRECT(E35&amp;"Cooling")</formula1>
    </dataValidation>
    <dataValidation type="list" allowBlank="1" showInputMessage="1" showErrorMessage="1" error="Please select from the drop-down list. (click on the cell, then click on the downward triangle to the right of the cell)" sqref="I35:I234" xr:uid="{00000000-0002-0000-0600-000009000000}">
      <formula1>INDIRECT(E35&amp;"Heating")</formula1>
    </dataValidation>
    <dataValidation type="list" allowBlank="1" showInputMessage="1" showErrorMessage="1" error="Please select from the drop-down list. (click on the cell, then click on the downward triangle to the right of the cell)" sqref="O35:O234" xr:uid="{00000000-0002-0000-0600-00000A000000}">
      <formula1>FixtureNumbers</formula1>
    </dataValidation>
    <dataValidation type="list" allowBlank="1" showInputMessage="1" showErrorMessage="1" error="Please select from the drop-down list. (click on the cell, then click on the downward triangle to the right of the cell)" sqref="R35:R234" xr:uid="{00000000-0002-0000-0600-00000B000000}">
      <formula1>ControlTypes</formula1>
    </dataValidation>
  </dataValidations>
  <pageMargins left="0.7" right="0.7" top="0.75" bottom="0.75" header="0.3" footer="0.3"/>
  <pageSetup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ignoredErrors>
    <ignoredError sqref="H234 H44:H233 I44:I234 H37:I43 H36 I3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7418" r:id="rId4" name="Option Button 10">
              <controlPr locked="0" defaultSize="0" autoFill="0" autoLine="0" autoPict="0">
                <anchor moveWithCells="1">
                  <from>
                    <xdr:col>2</xdr:col>
                    <xdr:colOff>336550</xdr:colOff>
                    <xdr:row>17</xdr:row>
                    <xdr:rowOff>228600</xdr:rowOff>
                  </from>
                  <to>
                    <xdr:col>2</xdr:col>
                    <xdr:colOff>1270000</xdr:colOff>
                    <xdr:row>19</xdr:row>
                    <xdr:rowOff>25400</xdr:rowOff>
                  </to>
                </anchor>
              </controlPr>
            </control>
          </mc:Choice>
        </mc:AlternateContent>
        <mc:AlternateContent xmlns:mc="http://schemas.openxmlformats.org/markup-compatibility/2006">
          <mc:Choice Requires="x14">
            <control shapeId="17419" r:id="rId5" name="Option Button 11">
              <controlPr locked="0" defaultSize="0" autoFill="0" autoLine="0" autoPict="0">
                <anchor moveWithCells="1">
                  <from>
                    <xdr:col>2</xdr:col>
                    <xdr:colOff>336550</xdr:colOff>
                    <xdr:row>19</xdr:row>
                    <xdr:rowOff>88900</xdr:rowOff>
                  </from>
                  <to>
                    <xdr:col>2</xdr:col>
                    <xdr:colOff>1270000</xdr:colOff>
                    <xdr:row>19</xdr:row>
                    <xdr:rowOff>323850</xdr:rowOff>
                  </to>
                </anchor>
              </controlPr>
            </control>
          </mc:Choice>
        </mc:AlternateContent>
        <mc:AlternateContent xmlns:mc="http://schemas.openxmlformats.org/markup-compatibility/2006">
          <mc:Choice Requires="x14">
            <control shapeId="17420" r:id="rId6" name="Option Button 12">
              <controlPr locked="0" defaultSize="0" autoFill="0" autoLine="0" autoPict="0">
                <anchor moveWithCells="1">
                  <from>
                    <xdr:col>2</xdr:col>
                    <xdr:colOff>336550</xdr:colOff>
                    <xdr:row>19</xdr:row>
                    <xdr:rowOff>393700</xdr:rowOff>
                  </from>
                  <to>
                    <xdr:col>2</xdr:col>
                    <xdr:colOff>1270000</xdr:colOff>
                    <xdr:row>21</xdr:row>
                    <xdr:rowOff>25400</xdr:rowOff>
                  </to>
                </anchor>
              </controlPr>
            </control>
          </mc:Choice>
        </mc:AlternateContent>
        <mc:AlternateContent xmlns:mc="http://schemas.openxmlformats.org/markup-compatibility/2006">
          <mc:Choice Requires="x14">
            <control shapeId="17421" r:id="rId7" name="Option Button 13">
              <controlPr locked="0" defaultSize="0" autoFill="0" autoLine="0" autoPict="0">
                <anchor moveWithCells="1">
                  <from>
                    <xdr:col>2</xdr:col>
                    <xdr:colOff>336550</xdr:colOff>
                    <xdr:row>21</xdr:row>
                    <xdr:rowOff>76200</xdr:rowOff>
                  </from>
                  <to>
                    <xdr:col>2</xdr:col>
                    <xdr:colOff>1270000</xdr:colOff>
                    <xdr:row>21</xdr:row>
                    <xdr:rowOff>311150</xdr:rowOff>
                  </to>
                </anchor>
              </controlPr>
            </control>
          </mc:Choice>
        </mc:AlternateContent>
      </controls>
    </mc:Choice>
  </mc:AlternateContent>
  <tableParts count="9">
    <tablePart r:id="rId8"/>
    <tablePart r:id="rId9"/>
    <tablePart r:id="rId10"/>
    <tablePart r:id="rId11"/>
    <tablePart r:id="rId12"/>
    <tablePart r:id="rId13"/>
    <tablePart r:id="rId14"/>
    <tablePart r:id="rId15"/>
    <tablePart r:id="rId1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2:L28"/>
  <sheetViews>
    <sheetView showGridLines="0" showRowColHeaders="0" zoomScaleNormal="100" workbookViewId="0">
      <selection activeCell="B3" sqref="B3:C3"/>
    </sheetView>
  </sheetViews>
  <sheetFormatPr defaultRowHeight="14.5" x14ac:dyDescent="0.35"/>
  <cols>
    <col min="1" max="1" width="7.1796875" customWidth="1"/>
    <col min="2" max="2" width="73.54296875" customWidth="1"/>
    <col min="3" max="3" width="16.81640625" customWidth="1"/>
    <col min="4" max="4" width="23.453125" customWidth="1"/>
    <col min="5" max="5" width="6.81640625" hidden="1" customWidth="1"/>
    <col min="6" max="6" width="44.26953125" hidden="1" customWidth="1"/>
    <col min="7" max="8" width="13.1796875" hidden="1" customWidth="1"/>
    <col min="9" max="9" width="15.453125" hidden="1" customWidth="1"/>
    <col min="10" max="10" width="12.7265625" bestFit="1" customWidth="1"/>
    <col min="12" max="12" width="11.1796875" bestFit="1" customWidth="1"/>
  </cols>
  <sheetData>
    <row r="2" spans="2:12" ht="18.5" x14ac:dyDescent="0.35">
      <c r="B2" s="615" t="s">
        <v>660</v>
      </c>
      <c r="C2" s="615"/>
    </row>
    <row r="3" spans="2:12" ht="45.65" customHeight="1" x14ac:dyDescent="0.35">
      <c r="B3" s="682" t="s">
        <v>661</v>
      </c>
      <c r="C3" s="682"/>
    </row>
    <row r="4" spans="2:12" x14ac:dyDescent="0.35">
      <c r="F4" s="38" t="s">
        <v>475</v>
      </c>
      <c r="G4" s="33" t="s">
        <v>695</v>
      </c>
    </row>
    <row r="5" spans="2:12" ht="15.5" x14ac:dyDescent="0.35">
      <c r="B5" s="663" t="s">
        <v>654</v>
      </c>
      <c r="C5" s="663"/>
      <c r="F5" s="232" t="s">
        <v>684</v>
      </c>
      <c r="G5" s="233">
        <v>0.06</v>
      </c>
    </row>
    <row r="6" spans="2:12" ht="15" thickBot="1" x14ac:dyDescent="0.4">
      <c r="B6" s="412" t="s">
        <v>1021</v>
      </c>
      <c r="C6" s="413" t="str">
        <f>IFERROR(SUMIF(IntExt,"Interior",kWhSavings)*(1-ineligibleInteriorKWee/sumInteriorKWee),"")</f>
        <v/>
      </c>
      <c r="F6" s="232" t="s">
        <v>691</v>
      </c>
      <c r="G6" s="403">
        <v>0.17</v>
      </c>
    </row>
    <row r="7" spans="2:12" ht="15" thickBot="1" x14ac:dyDescent="0.4">
      <c r="B7" s="414" t="s">
        <v>683</v>
      </c>
      <c r="C7" s="415">
        <f>IFERROR(SUMIF(IntExt,"Interior",DemandSavings),"")</f>
        <v>0</v>
      </c>
      <c r="F7" s="232" t="s">
        <v>694</v>
      </c>
      <c r="G7" s="234">
        <v>150000</v>
      </c>
    </row>
    <row r="8" spans="2:12" ht="15" thickBot="1" x14ac:dyDescent="0.4">
      <c r="B8" s="414" t="s">
        <v>656</v>
      </c>
      <c r="C8" s="416" t="str">
        <f>IFERROR(C6*G5,"")</f>
        <v/>
      </c>
      <c r="F8" s="189" t="s">
        <v>685</v>
      </c>
      <c r="G8" s="188">
        <v>8760</v>
      </c>
    </row>
    <row r="9" spans="2:12" ht="15" thickBot="1" x14ac:dyDescent="0.4">
      <c r="B9" s="414" t="s">
        <v>657</v>
      </c>
      <c r="C9" s="417" t="str">
        <f>IFERROR(SUMPRODUCT(--(IntExt="Interior"),EFLH_deemed,AreaSize/SUMIF(IntExt,"Interior",AreaSize)),"")</f>
        <v/>
      </c>
      <c r="F9" s="189" t="s">
        <v>703</v>
      </c>
      <c r="G9" s="188" t="e">
        <f>VLOOKUP(C14,Table19[[Tier]:[Incentive/kWh]],4,FALSE)</f>
        <v>#N/A</v>
      </c>
    </row>
    <row r="10" spans="2:12" x14ac:dyDescent="0.35">
      <c r="B10" s="412" t="s">
        <v>658</v>
      </c>
      <c r="C10" s="418">
        <f>EFLH_actual</f>
        <v>0</v>
      </c>
      <c r="F10" s="189" t="s">
        <v>984</v>
      </c>
      <c r="G10" s="188">
        <f>SUMIF(IntExt,"Interior",kWee)</f>
        <v>0</v>
      </c>
      <c r="L10" s="456"/>
    </row>
    <row r="11" spans="2:12" x14ac:dyDescent="0.35">
      <c r="B11" s="412" t="str">
        <f>"Baseline LPD (Lighting Power Density), [W/"&amp;sqft&amp;"]"</f>
        <v>Baseline LPD (Lighting Power Density), [W/ft²]</v>
      </c>
      <c r="C11" s="419" t="str">
        <f>IFERROR(SUMPRODUCT(--(IntExt="Interior"),--(AreaUnit=sqft),LPDb,AreaSize)/SUMIFS(AreaSize,IntExt,"Interior",AreaUnit,sqft),"")</f>
        <v/>
      </c>
      <c r="F11" s="189" t="s">
        <v>985</v>
      </c>
      <c r="G11" s="188">
        <f>SUMIFS(kWee,IntExt,"Interior",isEligible,{"N","n"})</f>
        <v>0</v>
      </c>
    </row>
    <row r="12" spans="2:12" x14ac:dyDescent="0.35">
      <c r="B12" s="412" t="str">
        <f>"Proposed Aggregate LPD, [W/"&amp;sqft&amp;"]"</f>
        <v>Proposed Aggregate LPD, [W/ft²]</v>
      </c>
      <c r="C12" s="420" t="str">
        <f>IFERROR(SUMIFS(kWee,IntExt,"Interior")/SUMIFS(AreaSize,IntExt,"Interior",AreaUnit,sqft)*1000,"")</f>
        <v/>
      </c>
      <c r="F12" s="189" t="s">
        <v>986</v>
      </c>
      <c r="G12" s="188">
        <f>SUMIF(IntExt,"Exterior",kWee)</f>
        <v>0</v>
      </c>
    </row>
    <row r="13" spans="2:12" x14ac:dyDescent="0.35">
      <c r="B13" s="495" t="s">
        <v>1076</v>
      </c>
      <c r="C13" s="421" t="str">
        <f>IFERROR((C11-C12)/C11,"")</f>
        <v/>
      </c>
      <c r="F13" s="189" t="s">
        <v>987</v>
      </c>
      <c r="G13" s="188">
        <f>SUMIFS(kWee,IntExt,"Exterior",isEligible,{"N","n"})</f>
        <v>0</v>
      </c>
    </row>
    <row r="14" spans="2:12" ht="50.15" customHeight="1" x14ac:dyDescent="0.35">
      <c r="B14" s="412" t="s">
        <v>659</v>
      </c>
      <c r="C14" s="422" t="str">
        <f>IFERROR(LOOKUP(C13,Table19[Low],Table19[Tier]),"")</f>
        <v/>
      </c>
      <c r="J14" s="457"/>
      <c r="L14" s="456"/>
    </row>
    <row r="15" spans="2:12" x14ac:dyDescent="0.35">
      <c r="B15" s="412" t="str">
        <f>"Incentive @ $"&amp; IFERROR(LightingRate,"")&amp;"/kWh"</f>
        <v>Incentive @ $/kWh</v>
      </c>
      <c r="C15" s="493">
        <f>IFERROR(MIN(C6*LightingRate,G7),0)</f>
        <v>0</v>
      </c>
      <c r="L15" s="457"/>
    </row>
    <row r="16" spans="2:12" x14ac:dyDescent="0.35">
      <c r="B16" s="423"/>
      <c r="C16" s="423"/>
      <c r="E16" s="221" t="s">
        <v>690</v>
      </c>
      <c r="F16" s="222" t="s">
        <v>686</v>
      </c>
      <c r="G16" s="222" t="s">
        <v>688</v>
      </c>
      <c r="H16" s="222" t="s">
        <v>689</v>
      </c>
      <c r="I16" s="223" t="s">
        <v>687</v>
      </c>
      <c r="L16" s="456"/>
    </row>
    <row r="17" spans="2:9" ht="15.5" x14ac:dyDescent="0.35">
      <c r="B17" s="680" t="s">
        <v>496</v>
      </c>
      <c r="C17" s="680"/>
      <c r="E17" s="224">
        <v>0</v>
      </c>
      <c r="F17" s="225" t="str">
        <f>"Minimum "&amp;'Lighting-Step3'!$H17*100&amp;"% improvement required for incentive"</f>
        <v>Minimum 15% improvement required for incentive</v>
      </c>
      <c r="G17" s="225">
        <v>0</v>
      </c>
      <c r="H17" s="226">
        <v>0.15</v>
      </c>
      <c r="I17" s="227">
        <v>0</v>
      </c>
    </row>
    <row r="18" spans="2:9" x14ac:dyDescent="0.35">
      <c r="B18" s="412" t="s">
        <v>655</v>
      </c>
      <c r="C18" s="424" t="str">
        <f>IFERROR(SUMIF(IntExt,"Exterior",kWhSavings)*(1-ineligibleExteriorKWee/sumExteriorKWee),"")</f>
        <v/>
      </c>
      <c r="E18" s="224">
        <v>1</v>
      </c>
      <c r="F18" s="225" t="str">
        <f>"Tier "&amp;Table19[[#This Row],[Num]]&amp;":          "&amp;Table19[[#This Row],[Low]]*100&amp;"% - "&amp;Table19[[#This Row],[High]]*100&amp;"%           $"&amp;Table19[[#This Row],[Incentive/kWh]]&amp;"/kWh"</f>
        <v>Tier 1:          15% - 24.99%           $0.16/kWh</v>
      </c>
      <c r="G18" s="228">
        <v>0.15</v>
      </c>
      <c r="H18" s="226">
        <v>0.24990000000000001</v>
      </c>
      <c r="I18" s="404">
        <v>0.16</v>
      </c>
    </row>
    <row r="19" spans="2:9" x14ac:dyDescent="0.35">
      <c r="B19" s="412" t="str">
        <f>"Incentive @ $"&amp;G6&amp;"/kWh"</f>
        <v>Incentive @ $0.17/kWh</v>
      </c>
      <c r="C19" s="493">
        <f>IFERROR(MIN(C18*G6,G7),0)</f>
        <v>0</v>
      </c>
      <c r="E19" s="224">
        <v>2</v>
      </c>
      <c r="F19" s="225" t="str">
        <f>"Tier "&amp;Table19[[#This Row],[Num]]&amp;":          "&amp;Table19[[#This Row],[Low]]*100&amp;"% - "&amp;Table19[[#This Row],[High]]*100&amp;"%           $"&amp;Table19[[#This Row],[Incentive/kWh]]&amp;"/kWh"</f>
        <v>Tier 2:          25% - 34.99%           $0.17/kWh</v>
      </c>
      <c r="G19" s="228">
        <v>0.25</v>
      </c>
      <c r="H19" s="226">
        <v>0.34989999999999999</v>
      </c>
      <c r="I19" s="404">
        <v>0.17</v>
      </c>
    </row>
    <row r="20" spans="2:9" x14ac:dyDescent="0.35">
      <c r="B20" s="423"/>
      <c r="C20" s="423"/>
      <c r="E20" s="229">
        <v>3</v>
      </c>
      <c r="F20" s="225" t="str">
        <f>"Tier "&amp;Table19[[#This Row],[Num]]&amp;":          "&amp;Table19[[#This Row],[Low]]*100&amp;"% - "&amp;Table19[[#This Row],[High]]*100&amp;"%              $"&amp;Table19[[#This Row],[Incentive/kWh]]&amp;"/kWh"</f>
        <v>Tier 3:          35% - 100%              $0.18/kWh</v>
      </c>
      <c r="G20" s="230">
        <v>0.35</v>
      </c>
      <c r="H20" s="231">
        <v>1</v>
      </c>
      <c r="I20" s="405">
        <v>0.18</v>
      </c>
    </row>
    <row r="21" spans="2:9" ht="16" thickBot="1" x14ac:dyDescent="0.4">
      <c r="B21" s="680" t="s">
        <v>692</v>
      </c>
      <c r="C21" s="681"/>
    </row>
    <row r="22" spans="2:9" ht="15" thickBot="1" x14ac:dyDescent="0.4">
      <c r="B22" s="414" t="s">
        <v>693</v>
      </c>
      <c r="C22" s="494">
        <f>IFERROR(MIN(C19+C15,G7),"")</f>
        <v>0</v>
      </c>
    </row>
    <row r="23" spans="2:9" x14ac:dyDescent="0.35">
      <c r="B23" s="423"/>
      <c r="C23" s="423"/>
    </row>
    <row r="24" spans="2:9" x14ac:dyDescent="0.35">
      <c r="B24" s="259" t="s">
        <v>704</v>
      </c>
      <c r="C24" s="425" t="str">
        <f>IFERROR(IF(C9=0,"",C6/C9*C10),"")</f>
        <v/>
      </c>
    </row>
    <row r="25" spans="2:9" ht="15" thickBot="1" x14ac:dyDescent="0.4">
      <c r="B25" s="260" t="s">
        <v>696</v>
      </c>
      <c r="C25" s="426">
        <f>IFERROR(SUM(C6, C18),"")</f>
        <v>0</v>
      </c>
    </row>
    <row r="26" spans="2:9" ht="15" thickBot="1" x14ac:dyDescent="0.4">
      <c r="B26" s="260" t="s">
        <v>698</v>
      </c>
      <c r="C26" s="427" t="str">
        <f>IFERROR(IF(C9=0,"",C6*C10/C9+C18),"")</f>
        <v/>
      </c>
    </row>
    <row r="27" spans="2:9" ht="15" thickBot="1" x14ac:dyDescent="0.4">
      <c r="B27" s="260" t="s">
        <v>699</v>
      </c>
      <c r="C27" s="236" t="str">
        <f>IFERROR(MIN(ROUNDDOWN(50000/'PROJECT INFO'!B42,0),15),"")</f>
        <v/>
      </c>
    </row>
    <row r="28" spans="2:9" ht="15" thickBot="1" x14ac:dyDescent="0.4">
      <c r="B28" s="261" t="s">
        <v>700</v>
      </c>
      <c r="C28" s="428" t="s">
        <v>697</v>
      </c>
    </row>
  </sheetData>
  <sheetProtection algorithmName="SHA-512" hashValue="JUCRMECnggtJyQohTu8Yn0+A3D93o/eteKeg80wPT4GU8MRhqWq4DljTThQ67siPjifLkEV6/fPlQRkbUurWEQ==" saltValue="J//AgHykUVL7r7dDvLq1fg==" spinCount="100000" sheet="1" objects="1" scenarios="1"/>
  <mergeCells count="5">
    <mergeCell ref="B21:C21"/>
    <mergeCell ref="B5:C5"/>
    <mergeCell ref="B17:C17"/>
    <mergeCell ref="B3:C3"/>
    <mergeCell ref="B2:C2"/>
  </mergeCells>
  <pageMargins left="0.7" right="0.7" top="0.75" bottom="0.75" header="0.3" footer="0.3"/>
  <pageSetup orientation="portrait" horizontalDpi="1200" verticalDpi="1200" r:id="rId1"/>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sheetPr>
  <dimension ref="B2:V79"/>
  <sheetViews>
    <sheetView showGridLines="0" showRowColHeaders="0" topLeftCell="O1" zoomScale="90" zoomScaleNormal="90" workbookViewId="0">
      <selection activeCell="B2" sqref="B2:K2"/>
    </sheetView>
  </sheetViews>
  <sheetFormatPr defaultRowHeight="14.5" outlineLevelRow="1" x14ac:dyDescent="0.35"/>
  <cols>
    <col min="1" max="1" width="7" customWidth="1"/>
    <col min="2" max="5" width="13" customWidth="1"/>
    <col min="6" max="6" width="16.54296875" customWidth="1"/>
    <col min="7" max="7" width="13" customWidth="1"/>
    <col min="8" max="8" width="13.81640625" customWidth="1"/>
    <col min="9" max="9" width="13" style="291" customWidth="1"/>
    <col min="10" max="10" width="18.1796875" customWidth="1"/>
    <col min="11" max="11" width="13" customWidth="1"/>
  </cols>
  <sheetData>
    <row r="2" spans="2:11" ht="21" x14ac:dyDescent="0.35">
      <c r="B2" s="717" t="s">
        <v>911</v>
      </c>
      <c r="C2" s="717"/>
      <c r="D2" s="717"/>
      <c r="E2" s="717"/>
      <c r="F2" s="717"/>
      <c r="G2" s="717"/>
      <c r="H2" s="717"/>
      <c r="I2" s="717"/>
      <c r="J2" s="717"/>
      <c r="K2" s="717"/>
    </row>
    <row r="3" spans="2:11" ht="21.65" customHeight="1" x14ac:dyDescent="0.35">
      <c r="B3" s="616" t="s">
        <v>912</v>
      </c>
      <c r="C3" s="617"/>
      <c r="D3" s="617"/>
      <c r="E3" s="617"/>
      <c r="F3" s="617"/>
      <c r="G3" s="617"/>
      <c r="H3" s="617"/>
      <c r="I3" s="617"/>
      <c r="J3" s="617"/>
      <c r="K3" s="618"/>
    </row>
    <row r="4" spans="2:11" ht="21.65" customHeight="1" x14ac:dyDescent="0.35">
      <c r="B4" s="619"/>
      <c r="C4" s="535"/>
      <c r="D4" s="535"/>
      <c r="E4" s="535"/>
      <c r="F4" s="535"/>
      <c r="G4" s="535"/>
      <c r="H4" s="535"/>
      <c r="I4" s="535"/>
      <c r="J4" s="535"/>
      <c r="K4" s="620"/>
    </row>
    <row r="5" spans="2:11" ht="21.65" customHeight="1" x14ac:dyDescent="0.35">
      <c r="B5" s="619"/>
      <c r="C5" s="535"/>
      <c r="D5" s="535"/>
      <c r="E5" s="535"/>
      <c r="F5" s="535"/>
      <c r="G5" s="535"/>
      <c r="H5" s="535"/>
      <c r="I5" s="535"/>
      <c r="J5" s="535"/>
      <c r="K5" s="620"/>
    </row>
    <row r="6" spans="2:11" ht="21.65" customHeight="1" x14ac:dyDescent="0.35">
      <c r="B6" s="619"/>
      <c r="C6" s="535"/>
      <c r="D6" s="535"/>
      <c r="E6" s="535"/>
      <c r="F6" s="535"/>
      <c r="G6" s="535"/>
      <c r="H6" s="535"/>
      <c r="I6" s="535"/>
      <c r="J6" s="535"/>
      <c r="K6" s="620"/>
    </row>
    <row r="7" spans="2:11" ht="21.65" customHeight="1" x14ac:dyDescent="0.35">
      <c r="B7" s="621"/>
      <c r="C7" s="622"/>
      <c r="D7" s="622"/>
      <c r="E7" s="622"/>
      <c r="F7" s="622"/>
      <c r="G7" s="622"/>
      <c r="H7" s="622"/>
      <c r="I7" s="622"/>
      <c r="J7" s="622"/>
      <c r="K7" s="623"/>
    </row>
    <row r="9" spans="2:11" ht="15.5" x14ac:dyDescent="0.35">
      <c r="B9" s="689" t="str">
        <f>'Measure Data'!B2</f>
        <v>High Efficiency Gas Furnaces</v>
      </c>
      <c r="C9" s="690"/>
      <c r="D9" s="690"/>
      <c r="E9" s="690"/>
      <c r="F9" s="690"/>
      <c r="G9" s="690"/>
      <c r="H9" s="690"/>
      <c r="I9" s="690"/>
      <c r="J9" s="690"/>
      <c r="K9" s="691"/>
    </row>
    <row r="10" spans="2:11" x14ac:dyDescent="0.35">
      <c r="B10" s="718" t="s">
        <v>995</v>
      </c>
      <c r="C10" s="719"/>
      <c r="D10" s="719"/>
      <c r="E10" s="719"/>
      <c r="F10" s="719"/>
      <c r="G10" s="719"/>
      <c r="H10" s="719"/>
      <c r="I10" s="719"/>
      <c r="J10" s="719"/>
      <c r="K10" s="720"/>
    </row>
    <row r="11" spans="2:11" x14ac:dyDescent="0.35">
      <c r="B11" s="702" t="s">
        <v>980</v>
      </c>
      <c r="C11" s="703"/>
      <c r="D11" s="703"/>
      <c r="E11" s="703"/>
      <c r="F11" s="703"/>
      <c r="G11" s="703"/>
      <c r="H11" s="703"/>
      <c r="I11" s="703"/>
      <c r="J11" s="703"/>
      <c r="K11" s="704"/>
    </row>
    <row r="12" spans="2:11" ht="65.150000000000006" customHeight="1" x14ac:dyDescent="0.35">
      <c r="B12" s="694" t="str">
        <f>"      • Equipment must meet minimum " &amp; 'Measure Data'!F5*100 &amp; "% AFUE
      • Unit must be "&amp; 'Measure Data'!D5 &amp;" - " &amp; 'Measure Data'!E6 &amp; " kBtuh input; larger units may qualify as 'Gas Air Heater' (below) if they are also condensing units"&amp;"
      • Furnace must have brushless DC or electrically commutated fan blower motor (ECM)
      • Fuel must be natural gas (not propane)"</f>
        <v xml:space="preserve">      • Equipment must meet minimum 94% AFUE
      • Unit must be 40 - 225 kBtuh input; larger units may qualify as 'Gas Air Heater' (below) if they are also condensing units
      • Furnace must have brushless DC or electrically commutated fan blower motor (ECM)
      • Fuel must be natural gas (not propane)</v>
      </c>
      <c r="C12" s="695"/>
      <c r="D12" s="695"/>
      <c r="E12" s="695"/>
      <c r="F12" s="695"/>
      <c r="G12" s="695"/>
      <c r="H12" s="695"/>
      <c r="I12" s="695"/>
      <c r="J12" s="695"/>
      <c r="K12" s="696"/>
    </row>
    <row r="13" spans="2:11" ht="39" x14ac:dyDescent="0.35">
      <c r="B13" s="49" t="s">
        <v>63</v>
      </c>
      <c r="C13" s="49" t="s">
        <v>111</v>
      </c>
      <c r="D13" s="49" t="s">
        <v>94</v>
      </c>
      <c r="E13" s="49" t="s">
        <v>95</v>
      </c>
      <c r="F13" s="49" t="s">
        <v>96</v>
      </c>
      <c r="G13" s="708" t="s">
        <v>108</v>
      </c>
      <c r="H13" s="709"/>
      <c r="I13" s="49" t="s">
        <v>62</v>
      </c>
      <c r="J13" s="49" t="s">
        <v>64</v>
      </c>
      <c r="K13" s="49" t="s">
        <v>65</v>
      </c>
    </row>
    <row r="14" spans="2:11" ht="19" customHeight="1" x14ac:dyDescent="0.35">
      <c r="B14" s="302"/>
      <c r="C14" s="303"/>
      <c r="D14" s="384"/>
      <c r="E14" s="302"/>
      <c r="F14" s="304"/>
      <c r="G14" s="687" t="str">
        <f>IF(I14="","",IFERROR(LOOKUP(C14,'Measure Data'!D$4:D$7,'Measure Data'!C$4:C$7),""))</f>
        <v/>
      </c>
      <c r="H14" s="688"/>
      <c r="I14" s="15" t="str">
        <f>IF(OR(ISBLANK(C14),ISBLANK(D14),ISBLANK(E14)),"",IFERROR(LOOKUP(C14,'Measure Data'!D$4:D$7,'Measure Data'!B$4:B$7),""))</f>
        <v/>
      </c>
      <c r="J14" s="12" t="str">
        <f>IF(I14="INELIGIBLE","",IFERROR("$"&amp;VLOOKUP(G14,'Measure Data'!C$4:M$7,IF(isPublic,7,8),FALSE)&amp;"/"&amp;VLOOKUP(G14,'Measure Data'!C$4:M$7,9,FALSE),""))</f>
        <v/>
      </c>
      <c r="K14" s="14" t="str">
        <f>IFERROR(VLOOKUP(G14,'Measure Data'!C$4:M$7,IF(isPublic,7,8),FALSE)*B14,"")</f>
        <v/>
      </c>
    </row>
    <row r="15" spans="2:11" ht="19" customHeight="1" x14ac:dyDescent="0.35">
      <c r="B15" s="302"/>
      <c r="C15" s="366"/>
      <c r="D15" s="384"/>
      <c r="E15" s="302"/>
      <c r="F15" s="304"/>
      <c r="G15" s="687" t="str">
        <f>IF(I15="","",IFERROR(LOOKUP(C15,'Measure Data'!D$4:D$7,'Measure Data'!C$4:C$7),""))</f>
        <v/>
      </c>
      <c r="H15" s="688"/>
      <c r="I15" s="15" t="str">
        <f>IF(OR(ISBLANK(C15),ISBLANK(D15),ISBLANK(E15)),"",IFERROR(LOOKUP(C15,'Measure Data'!D$4:D$7,'Measure Data'!B$4:B$7),""))</f>
        <v/>
      </c>
      <c r="J15" s="12" t="str">
        <f>IF(I15="INELIGIBLE","",IFERROR("$"&amp;VLOOKUP(G15,'Measure Data'!C$4:M$7,IF(isPublic,7,8),FALSE)&amp;"/"&amp;VLOOKUP(G15,'Measure Data'!C$4:M$7,9,FALSE),""))</f>
        <v/>
      </c>
      <c r="K15" s="14" t="str">
        <f>IFERROR(VLOOKUP(G15,'Measure Data'!C$4:M$7,IF(isPublic,7,8),FALSE)*B15,"")</f>
        <v/>
      </c>
    </row>
    <row r="16" spans="2:11" ht="19" hidden="1" customHeight="1" outlineLevel="1" x14ac:dyDescent="0.35">
      <c r="B16" s="302"/>
      <c r="C16" s="366"/>
      <c r="D16" s="384"/>
      <c r="E16" s="302"/>
      <c r="F16" s="304"/>
      <c r="G16" s="687" t="str">
        <f>IF(I16="","",IFERROR(LOOKUP(C16,'Measure Data'!D$4:D$7,'Measure Data'!C$4:C$7),""))</f>
        <v/>
      </c>
      <c r="H16" s="688"/>
      <c r="I16" s="15" t="str">
        <f>IF(OR(ISBLANK(C16),ISBLANK(D16),ISBLANK(E16)),"",IFERROR(LOOKUP(C16,'Measure Data'!D$4:D$7,'Measure Data'!B$4:B$7),""))</f>
        <v/>
      </c>
      <c r="J16" s="12" t="str">
        <f>IF(I16="INELIGIBLE","",IFERROR("$"&amp;VLOOKUP(G16,'Measure Data'!C$4:M$7,IF(isPublic,7,8),FALSE)&amp;"/"&amp;VLOOKUP(G16,'Measure Data'!C$4:M$7,9,FALSE),""))</f>
        <v/>
      </c>
      <c r="K16" s="14" t="str">
        <f>IFERROR(VLOOKUP(G16,'Measure Data'!C$4:M$7,IF(isPublic,7,8),FALSE)*B16,"")</f>
        <v/>
      </c>
    </row>
    <row r="17" spans="2:11" ht="19" hidden="1" customHeight="1" outlineLevel="1" x14ac:dyDescent="0.35">
      <c r="B17" s="302"/>
      <c r="C17" s="366"/>
      <c r="D17" s="384"/>
      <c r="E17" s="302"/>
      <c r="F17" s="304"/>
      <c r="G17" s="687" t="str">
        <f>IF(I17="","",IFERROR(LOOKUP(C17,'Measure Data'!D$4:D$7,'Measure Data'!C$4:C$7),""))</f>
        <v/>
      </c>
      <c r="H17" s="688"/>
      <c r="I17" s="15" t="str">
        <f>IF(OR(ISBLANK(C17),ISBLANK(D17),ISBLANK(E17)),"",IFERROR(LOOKUP(C17,'Measure Data'!D$4:D$7,'Measure Data'!B$4:B$7),""))</f>
        <v/>
      </c>
      <c r="J17" s="12" t="str">
        <f>IF(I17="INELIGIBLE","",IFERROR("$"&amp;VLOOKUP(G17,'Measure Data'!C$4:M$7,IF(isPublic,7,8),FALSE)&amp;"/"&amp;VLOOKUP(G17,'Measure Data'!C$4:M$7,9,FALSE),""))</f>
        <v/>
      </c>
      <c r="K17" s="14" t="str">
        <f>IFERROR(VLOOKUP(G17,'Measure Data'!C$4:M$7,IF(isPublic,7,8),FALSE)*B17,"")</f>
        <v/>
      </c>
    </row>
    <row r="18" spans="2:11" ht="19" hidden="1" customHeight="1" outlineLevel="1" x14ac:dyDescent="0.35">
      <c r="B18" s="302"/>
      <c r="C18" s="366"/>
      <c r="D18" s="384"/>
      <c r="E18" s="302"/>
      <c r="F18" s="304"/>
      <c r="G18" s="687" t="str">
        <f>IF(I18="","",IFERROR(LOOKUP(C18,'Measure Data'!D$4:D$7,'Measure Data'!C$4:C$7),""))</f>
        <v/>
      </c>
      <c r="H18" s="688"/>
      <c r="I18" s="15" t="str">
        <f>IF(OR(ISBLANK(C18),ISBLANK(D18),ISBLANK(E18)),"",IFERROR(LOOKUP(C18,'Measure Data'!D$4:D$7,'Measure Data'!B$4:B$7),""))</f>
        <v/>
      </c>
      <c r="J18" s="12" t="str">
        <f>IF(I18="INELIGIBLE","",IFERROR("$"&amp;VLOOKUP(G18,'Measure Data'!C$4:M$7,IF(isPublic,7,8),FALSE)&amp;"/"&amp;VLOOKUP(G18,'Measure Data'!C$4:M$7,9,FALSE),""))</f>
        <v/>
      </c>
      <c r="K18" s="14" t="str">
        <f>IFERROR(VLOOKUP(G18,'Measure Data'!C$4:M$7,IF(isPublic,7,8),FALSE)*B18,"")</f>
        <v/>
      </c>
    </row>
    <row r="19" spans="2:11" ht="19" hidden="1" customHeight="1" outlineLevel="1" x14ac:dyDescent="0.35">
      <c r="B19" s="302"/>
      <c r="C19" s="366"/>
      <c r="D19" s="384"/>
      <c r="E19" s="302"/>
      <c r="F19" s="304"/>
      <c r="G19" s="687" t="str">
        <f>IF(I19="","",IFERROR(LOOKUP(C19,'Measure Data'!D$4:D$7,'Measure Data'!C$4:C$7),""))</f>
        <v/>
      </c>
      <c r="H19" s="688"/>
      <c r="I19" s="15" t="str">
        <f>IF(OR(ISBLANK(C19),ISBLANK(D19),ISBLANK(E19)),"",IFERROR(LOOKUP(C19,'Measure Data'!D$4:D$7,'Measure Data'!B$4:B$7),""))</f>
        <v/>
      </c>
      <c r="J19" s="12" t="str">
        <f>IF(I19="INELIGIBLE","",IFERROR("$"&amp;VLOOKUP(G19,'Measure Data'!C$4:M$7,IF(isPublic,7,8),FALSE)&amp;"/"&amp;VLOOKUP(G19,'Measure Data'!C$4:M$7,9,FALSE),""))</f>
        <v/>
      </c>
      <c r="K19" s="14" t="str">
        <f>IFERROR(VLOOKUP(G19,'Measure Data'!C$4:M$7,IF(isPublic,7,8),FALSE)*B19,"")</f>
        <v/>
      </c>
    </row>
    <row r="20" spans="2:11" ht="19" hidden="1" customHeight="1" outlineLevel="1" x14ac:dyDescent="0.35">
      <c r="B20" s="302"/>
      <c r="C20" s="366"/>
      <c r="D20" s="384"/>
      <c r="E20" s="302"/>
      <c r="F20" s="304"/>
      <c r="G20" s="687" t="str">
        <f>IF(I20="","",IFERROR(LOOKUP(C20,'Measure Data'!D$4:D$7,'Measure Data'!C$4:C$7),""))</f>
        <v/>
      </c>
      <c r="H20" s="688"/>
      <c r="I20" s="15" t="str">
        <f>IF(OR(ISBLANK(C20),ISBLANK(D20),ISBLANK(E20)),"",IFERROR(LOOKUP(C20,'Measure Data'!D$4:D$7,'Measure Data'!B$4:B$7),""))</f>
        <v/>
      </c>
      <c r="J20" s="12" t="str">
        <f>IF(I20="INELIGIBLE","",IFERROR("$"&amp;VLOOKUP(G20,'Measure Data'!C$4:M$7,IF(isPublic,7,8),FALSE)&amp;"/"&amp;VLOOKUP(G20,'Measure Data'!C$4:M$7,9,FALSE),""))</f>
        <v/>
      </c>
      <c r="K20" s="14" t="str">
        <f>IFERROR(VLOOKUP(G20,'Measure Data'!C$4:M$7,IF(isPublic,7,8),FALSE)*B20,"")</f>
        <v/>
      </c>
    </row>
    <row r="21" spans="2:11" collapsed="1" x14ac:dyDescent="0.35">
      <c r="B21" s="266" t="s">
        <v>739</v>
      </c>
      <c r="C21" s="2"/>
    </row>
    <row r="22" spans="2:11" ht="25" customHeight="1" x14ac:dyDescent="0.35">
      <c r="C22" s="2"/>
    </row>
    <row r="23" spans="2:11" ht="15.5" x14ac:dyDescent="0.35">
      <c r="B23" s="716" t="str">
        <f>'Measure Data'!B10</f>
        <v>Gas Air Heaters</v>
      </c>
      <c r="C23" s="693"/>
      <c r="D23" s="693"/>
      <c r="E23" s="693"/>
      <c r="F23" s="693"/>
      <c r="G23" s="693"/>
      <c r="H23" s="693"/>
      <c r="I23" s="693"/>
      <c r="J23" s="693"/>
      <c r="K23" s="693"/>
    </row>
    <row r="24" spans="2:11" ht="99.65" customHeight="1" x14ac:dyDescent="0.35">
      <c r="B24" s="712" t="str">
        <f>"      • Must have Ameren Illinois natural gas service to qualify
      • If the furnace qualifies as a High Efficiency Gas Furnace (" &amp; 'Measure Data'!F5*100 &amp;"% AFUE min, above) measure BPH7 must be used; the unit is not eligible for this measure" &amp; "
      • Eligible units may include: furnace heating 100% outside air, dedicated outdoor air system (DOAS), make-up air system (MUAS), or furnace over 225 kBtuh input capacity" &amp; "
      • Unit must contain condensing warm air furnace with gas thermal efficiency (TE) of " &amp; 'Measure Data'!F12*100 &amp; "% or higher. If not listed, TE equals nameplate gas heating output divided by 
          gas heating input. This rating must be certified by a recognized testing laboratory in accordance with American National " &amp; "Standards Institute (ANSI) Standard Z21.47
          for Gas-Fired Central Furnaces. Please provide verifiable third-party certification."</f>
        <v xml:space="preserve">      • Must have Ameren Illinois natural gas service to qualify
      • If the furnace qualifies as a High Efficiency Gas Furnace (94% AFUE min, above) measure BPH7 must be used; the unit is not eligible for this measure
      • Eligible units may include: furnace heating 100% outside air, dedicated outdoor air system (DOAS), make-up air system (MUAS), or furnace over 225 kBtuh input capacity
      • Unit must contain condensing warm air furnace with gas thermal efficiency (TE) of 90% or higher. If not listed, TE equals nameplate gas heating output divided by 
          gas heating input. This rating must be certified by a recognized testing laboratory in accordance with American National Standards Institute (ANSI) Standard Z21.47
          for Gas-Fired Central Furnaces. Please provide verifiable third-party certification.</v>
      </c>
      <c r="C24" s="713"/>
      <c r="D24" s="713"/>
      <c r="E24" s="713"/>
      <c r="F24" s="713"/>
      <c r="G24" s="713"/>
      <c r="H24" s="713"/>
      <c r="I24" s="713"/>
      <c r="J24" s="713"/>
      <c r="K24" s="714"/>
    </row>
    <row r="25" spans="2:11" ht="39" customHeight="1" x14ac:dyDescent="0.35">
      <c r="B25" s="279" t="s">
        <v>63</v>
      </c>
      <c r="C25" s="4" t="s">
        <v>106</v>
      </c>
      <c r="D25" s="4" t="s">
        <v>107</v>
      </c>
      <c r="E25" s="278" t="s">
        <v>868</v>
      </c>
      <c r="F25" s="721" t="s">
        <v>96</v>
      </c>
      <c r="G25" s="721"/>
      <c r="H25" s="721"/>
      <c r="I25" s="4" t="s">
        <v>62</v>
      </c>
      <c r="J25" s="4" t="s">
        <v>64</v>
      </c>
      <c r="K25" s="4" t="s">
        <v>65</v>
      </c>
    </row>
    <row r="26" spans="2:11" ht="18.649999999999999" customHeight="1" x14ac:dyDescent="0.35">
      <c r="B26" s="319"/>
      <c r="C26" s="320"/>
      <c r="D26" s="320"/>
      <c r="E26" s="321"/>
      <c r="F26" s="322"/>
      <c r="G26" s="323"/>
      <c r="H26" s="324"/>
      <c r="I26" s="10" t="str">
        <f>IF(OR(ISBLANK(C26),ISBLANK(D26)),"",'Measure Data'!B$12)</f>
        <v/>
      </c>
      <c r="J26" s="12" t="str">
        <f>IFERROR("$" &amp; VLOOKUP(I26,'Measure Data'!B:J,IF(isPublic,8,9),FALSE) &amp; "/" &amp; VLOOKUP(I26,'Measure Data'!B:K,10,FALSE),"")</f>
        <v/>
      </c>
      <c r="K26" s="14" t="str">
        <f>IF(OR(ISBLANK(E26)),"",IFERROR(VLOOKUP(I26,'Measure Data'!B$12:J$12,IF(isPublic,8,9),FALSE)*B26*C26,""))</f>
        <v/>
      </c>
    </row>
    <row r="27" spans="2:11" ht="18.649999999999999" customHeight="1" x14ac:dyDescent="0.35">
      <c r="B27" s="319"/>
      <c r="C27" s="320"/>
      <c r="D27" s="320"/>
      <c r="E27" s="321"/>
      <c r="F27" s="322"/>
      <c r="G27" s="323"/>
      <c r="H27" s="324"/>
      <c r="I27" s="10" t="str">
        <f>IF(OR(ISBLANK(C27),ISBLANK(D27)),"",'Measure Data'!B$12)</f>
        <v/>
      </c>
      <c r="J27" s="12" t="str">
        <f>IFERROR("$" &amp; VLOOKUP(I27,'Measure Data'!B:J,IF(isPublic,8,9),FALSE) &amp; "/" &amp; VLOOKUP(I27,'Measure Data'!B:K,10,FALSE),"")</f>
        <v/>
      </c>
      <c r="K27" s="14" t="str">
        <f>IF(OR(ISBLANK(E27)),"",IFERROR(VLOOKUP(I27,'Measure Data'!B$12:J$12,IF(isPublic,8,9),FALSE)*B27*C27,""))</f>
        <v/>
      </c>
    </row>
    <row r="28" spans="2:11" ht="18.649999999999999" hidden="1" customHeight="1" outlineLevel="1" x14ac:dyDescent="0.35">
      <c r="B28" s="319"/>
      <c r="C28" s="320"/>
      <c r="D28" s="320"/>
      <c r="E28" s="321"/>
      <c r="F28" s="322"/>
      <c r="G28" s="323"/>
      <c r="H28" s="324"/>
      <c r="I28" s="10" t="str">
        <f>IF(OR(ISBLANK(C28),ISBLANK(D28)),"",'Measure Data'!B$12)</f>
        <v/>
      </c>
      <c r="J28" s="12" t="str">
        <f>IFERROR("$" &amp; VLOOKUP(I28,'Measure Data'!B:J,IF(isPublic,8,9),FALSE) &amp; "/" &amp; VLOOKUP(I28,'Measure Data'!B:K,10,FALSE),"")</f>
        <v/>
      </c>
      <c r="K28" s="14" t="str">
        <f>IF(OR(ISBLANK(E28)),"",IFERROR(VLOOKUP(I28,'Measure Data'!B$12:J$12,IF(isPublic,8,9),FALSE)*B28*C28,""))</f>
        <v/>
      </c>
    </row>
    <row r="29" spans="2:11" ht="18.649999999999999" hidden="1" customHeight="1" outlineLevel="1" x14ac:dyDescent="0.35">
      <c r="B29" s="319"/>
      <c r="C29" s="320"/>
      <c r="D29" s="320"/>
      <c r="E29" s="321"/>
      <c r="F29" s="322"/>
      <c r="G29" s="323"/>
      <c r="H29" s="324"/>
      <c r="I29" s="10" t="str">
        <f>IF(OR(ISBLANK(C29),ISBLANK(D29)),"",'Measure Data'!B$12)</f>
        <v/>
      </c>
      <c r="J29" s="12" t="str">
        <f>IFERROR("$" &amp; VLOOKUP(I29,'Measure Data'!B:J,IF(isPublic,8,9),FALSE) &amp; "/" &amp; VLOOKUP(I29,'Measure Data'!B:K,10,FALSE),"")</f>
        <v/>
      </c>
      <c r="K29" s="14" t="str">
        <f>IF(OR(ISBLANK(E29)),"",IFERROR(VLOOKUP(I29,'Measure Data'!B$12:J$12,IF(isPublic,8,9),FALSE)*B29*C29,""))</f>
        <v/>
      </c>
    </row>
    <row r="30" spans="2:11" ht="18.649999999999999" hidden="1" customHeight="1" outlineLevel="1" x14ac:dyDescent="0.35">
      <c r="B30" s="319"/>
      <c r="C30" s="320"/>
      <c r="D30" s="320"/>
      <c r="E30" s="321"/>
      <c r="F30" s="322"/>
      <c r="G30" s="323"/>
      <c r="H30" s="324"/>
      <c r="I30" s="10" t="str">
        <f>IF(OR(ISBLANK(C30),ISBLANK(D30)),"",'Measure Data'!B$12)</f>
        <v/>
      </c>
      <c r="J30" s="12" t="str">
        <f>IFERROR("$" &amp; VLOOKUP(I30,'Measure Data'!B:J,IF(isPublic,8,9),FALSE) &amp; "/" &amp; VLOOKUP(I30,'Measure Data'!B:K,10,FALSE),"")</f>
        <v/>
      </c>
      <c r="K30" s="14" t="str">
        <f>IF(OR(ISBLANK(E30)),"",IFERROR(VLOOKUP(I30,'Measure Data'!B$12:J$12,IF(isPublic,8,9),FALSE)*B30*C30,""))</f>
        <v/>
      </c>
    </row>
    <row r="31" spans="2:11" ht="18.649999999999999" hidden="1" customHeight="1" outlineLevel="1" x14ac:dyDescent="0.35">
      <c r="B31" s="319"/>
      <c r="C31" s="320"/>
      <c r="D31" s="320"/>
      <c r="E31" s="321"/>
      <c r="F31" s="322"/>
      <c r="G31" s="323"/>
      <c r="H31" s="324"/>
      <c r="I31" s="10" t="str">
        <f>IF(OR(ISBLANK(C31),ISBLANK(D31)),"",'Measure Data'!B$12)</f>
        <v/>
      </c>
      <c r="J31" s="12" t="str">
        <f>IFERROR("$" &amp; VLOOKUP(I31,'Measure Data'!B:J,IF(isPublic,8,9),FALSE) &amp; "/" &amp; VLOOKUP(I31,'Measure Data'!B:K,10,FALSE),"")</f>
        <v/>
      </c>
      <c r="K31" s="14" t="str">
        <f>IF(OR(ISBLANK(E31)),"",IFERROR(VLOOKUP(I31,'Measure Data'!B$12:J$12,IF(isPublic,8,9),FALSE)*B31*C31,""))</f>
        <v/>
      </c>
    </row>
    <row r="32" spans="2:11" ht="18.649999999999999" hidden="1" customHeight="1" outlineLevel="1" x14ac:dyDescent="0.35">
      <c r="B32" s="319"/>
      <c r="C32" s="320"/>
      <c r="D32" s="320"/>
      <c r="E32" s="321"/>
      <c r="F32" s="322"/>
      <c r="G32" s="323"/>
      <c r="H32" s="324"/>
      <c r="I32" s="10" t="str">
        <f>IF(OR(ISBLANK(C32),ISBLANK(D32)),"",'Measure Data'!B$12)</f>
        <v/>
      </c>
      <c r="J32" s="12" t="str">
        <f>IFERROR("$" &amp; VLOOKUP(I32,'Measure Data'!B:J,IF(isPublic,8,9),FALSE) &amp; "/" &amp; VLOOKUP(I32,'Measure Data'!B:K,10,FALSE),"")</f>
        <v/>
      </c>
      <c r="K32" s="14" t="str">
        <f>IF(OR(ISBLANK(E32)),"",IFERROR(VLOOKUP(I32,'Measure Data'!B$12:J$12,IF(isPublic,8,9),FALSE)*B32*C32,""))</f>
        <v/>
      </c>
    </row>
    <row r="33" spans="2:11" ht="18.649999999999999" hidden="1" customHeight="1" outlineLevel="1" x14ac:dyDescent="0.35">
      <c r="B33" s="319"/>
      <c r="C33" s="320"/>
      <c r="D33" s="320"/>
      <c r="E33" s="321"/>
      <c r="F33" s="322"/>
      <c r="G33" s="323"/>
      <c r="H33" s="324"/>
      <c r="I33" s="10" t="str">
        <f>IF(OR(ISBLANK(C33),ISBLANK(D33)),"",'Measure Data'!B$12)</f>
        <v/>
      </c>
      <c r="J33" s="12" t="str">
        <f>IFERROR("$" &amp; VLOOKUP(I33,'Measure Data'!B:J,IF(isPublic,8,9),FALSE) &amp; "/" &amp; VLOOKUP(I33,'Measure Data'!B:K,10,FALSE),"")</f>
        <v/>
      </c>
      <c r="K33" s="14" t="str">
        <f>IF(OR(ISBLANK(E33)),"",IFERROR(VLOOKUP(I33,'Measure Data'!B$12:J$12,IF(isPublic,8,9),FALSE)*B33*C33,""))</f>
        <v/>
      </c>
    </row>
    <row r="34" spans="2:11" collapsed="1" x14ac:dyDescent="0.35">
      <c r="B34" s="266" t="s">
        <v>739</v>
      </c>
      <c r="C34" s="2"/>
    </row>
    <row r="35" spans="2:11" x14ac:dyDescent="0.35">
      <c r="C35" s="2"/>
    </row>
    <row r="36" spans="2:11" ht="15.5" x14ac:dyDescent="0.35">
      <c r="B36" s="692" t="str">
        <f>'Measure Data'!B15</f>
        <v>HTHV Direct Fired Heaters</v>
      </c>
      <c r="C36" s="693"/>
      <c r="D36" s="693"/>
      <c r="E36" s="693"/>
      <c r="F36" s="693"/>
      <c r="G36" s="693"/>
      <c r="H36" s="693"/>
      <c r="I36" s="693"/>
      <c r="J36" s="693"/>
      <c r="K36" s="693"/>
    </row>
    <row r="37" spans="2:11" ht="95.15" customHeight="1" x14ac:dyDescent="0.35">
      <c r="B37" s="712" t="str">
        <f>"      • Must have Ameren Illinois natural gas service to qualify      
      • Equipment must be an indirect fired gas or steam unit heater or a rooftop unit as primary space heating source"&amp;"
      • Must be a 100% outside air, High Temperature Heating and Ventilation (HTHV) direct fired gas heater"&amp;"
      • Must have a discharge temperature greater than or equal to "&amp;'Measure Data'!E17&amp;"°F and temperature rise greater than or equal to "&amp;'Measure Data'!F17&amp;"°F"&amp;"
      • Must have an efficiency exceeding "&amp;'Measure Data'!D17  *100 &amp;"%
      • Must be used in a warehouse or light industrial facility with ceiling height over 20ft and no destratification technologies (ceiling fans or air turnover units)"</f>
        <v xml:space="preserve">      • Must have Ameren Illinois natural gas service to qualify      
      • Equipment must be an indirect fired gas or steam unit heater or a rooftop unit as primary space heating source
      • Must be a 100% outside air, High Temperature Heating and Ventilation (HTHV) direct fired gas heater
      • Must have a discharge temperature greater than or equal to 150°F and temperature rise greater than or equal to 140°F
      • Must have an efficiency exceeding 92%
      • Must be used in a warehouse or light industrial facility with ceiling height over 20ft and no destratification technologies (ceiling fans or air turnover units)</v>
      </c>
      <c r="C37" s="713"/>
      <c r="D37" s="713"/>
      <c r="E37" s="713"/>
      <c r="F37" s="713"/>
      <c r="G37" s="713"/>
      <c r="H37" s="713"/>
      <c r="I37" s="713"/>
      <c r="J37" s="713"/>
      <c r="K37" s="714"/>
    </row>
    <row r="38" spans="2:11" ht="39" customHeight="1" x14ac:dyDescent="0.35">
      <c r="B38" s="279" t="s">
        <v>63</v>
      </c>
      <c r="C38" s="4" t="s">
        <v>110</v>
      </c>
      <c r="D38" s="51"/>
      <c r="E38" s="715"/>
      <c r="F38" s="715"/>
      <c r="G38" s="715"/>
      <c r="H38" s="709"/>
      <c r="I38" s="4" t="s">
        <v>62</v>
      </c>
      <c r="J38" s="4" t="s">
        <v>64</v>
      </c>
      <c r="K38" s="4" t="s">
        <v>65</v>
      </c>
    </row>
    <row r="39" spans="2:11" ht="19" customHeight="1" x14ac:dyDescent="0.35">
      <c r="B39" s="319"/>
      <c r="C39" s="320"/>
      <c r="D39" s="52"/>
      <c r="E39" s="697"/>
      <c r="F39" s="697"/>
      <c r="G39" s="697"/>
      <c r="H39" s="698"/>
      <c r="I39" s="10" t="str">
        <f>IF(ISBLANK(C39),"",'Measure Data'!B$17)</f>
        <v/>
      </c>
      <c r="J39" s="12" t="str">
        <f>IFERROR("$" &amp; VLOOKUP(I39,'Measure Data'!B:J,IF(isPublic,8,9),FALSE) &amp; "/" &amp; VLOOKUP(I39,'Measure Data'!B:K,10,FALSE),"")</f>
        <v/>
      </c>
      <c r="K39" s="293" t="str">
        <f>IFERROR(VLOOKUP(I39,'Measure Data'!B:J,IF(isPublic,8,9),FALSE)*B39*C39,"")</f>
        <v/>
      </c>
    </row>
    <row r="40" spans="2:11" ht="19" customHeight="1" x14ac:dyDescent="0.35">
      <c r="B40" s="319"/>
      <c r="C40" s="320"/>
      <c r="D40" s="52"/>
      <c r="E40" s="697"/>
      <c r="F40" s="697"/>
      <c r="G40" s="697"/>
      <c r="H40" s="698"/>
      <c r="I40" s="10" t="str">
        <f>IF(ISBLANK(C40),"",'Measure Data'!B$17)</f>
        <v/>
      </c>
      <c r="J40" s="12" t="str">
        <f>IFERROR("$" &amp; VLOOKUP(I40,'Measure Data'!B:J,IF(isPublic,8,9),FALSE) &amp; "/" &amp; VLOOKUP(I40,'Measure Data'!B:K,10,FALSE),"")</f>
        <v/>
      </c>
      <c r="K40" s="293" t="str">
        <f>IFERROR(VLOOKUP(I40,'Measure Data'!B:J,IF(isPublic,8,9),FALSE)*B40*C40,"")</f>
        <v/>
      </c>
    </row>
    <row r="41" spans="2:11" ht="19" hidden="1" customHeight="1" outlineLevel="1" x14ac:dyDescent="0.35">
      <c r="B41" s="319"/>
      <c r="C41" s="320"/>
      <c r="D41" s="52"/>
      <c r="E41" s="697"/>
      <c r="F41" s="697"/>
      <c r="G41" s="697"/>
      <c r="H41" s="698"/>
      <c r="I41" s="10" t="str">
        <f>IF(ISBLANK(C41),"",'Measure Data'!B$17)</f>
        <v/>
      </c>
      <c r="J41" s="12" t="str">
        <f>IFERROR("$" &amp; VLOOKUP(I41,'Measure Data'!B:J,IF(isPublic,8,9),FALSE) &amp; "/" &amp; VLOOKUP(I41,'Measure Data'!B:K,10,FALSE),"")</f>
        <v/>
      </c>
      <c r="K41" s="293" t="str">
        <f>IFERROR(VLOOKUP(I41,'Measure Data'!B:J,IF(isPublic,8,9),FALSE)*B41*C41,"")</f>
        <v/>
      </c>
    </row>
    <row r="42" spans="2:11" ht="19" hidden="1" customHeight="1" outlineLevel="1" x14ac:dyDescent="0.35">
      <c r="B42" s="319"/>
      <c r="C42" s="320"/>
      <c r="D42" s="52"/>
      <c r="E42" s="697"/>
      <c r="F42" s="697"/>
      <c r="G42" s="697"/>
      <c r="H42" s="698"/>
      <c r="I42" s="10" t="str">
        <f>IF(ISBLANK(C42),"",'Measure Data'!B$17)</f>
        <v/>
      </c>
      <c r="J42" s="12" t="str">
        <f>IFERROR("$" &amp; VLOOKUP(I42,'Measure Data'!B:J,IF(isPublic,8,9),FALSE) &amp; "/" &amp; VLOOKUP(I42,'Measure Data'!B:K,10,FALSE),"")</f>
        <v/>
      </c>
      <c r="K42" s="293" t="str">
        <f>IFERROR(VLOOKUP(I42,'Measure Data'!B:J,IF(isPublic,8,9),FALSE)*B42*C42,"")</f>
        <v/>
      </c>
    </row>
    <row r="43" spans="2:11" ht="19" hidden="1" customHeight="1" outlineLevel="1" x14ac:dyDescent="0.35">
      <c r="B43" s="319"/>
      <c r="C43" s="320"/>
      <c r="D43" s="52"/>
      <c r="E43" s="697"/>
      <c r="F43" s="697"/>
      <c r="G43" s="697"/>
      <c r="H43" s="698"/>
      <c r="I43" s="10" t="str">
        <f>IF(ISBLANK(C43),"",'Measure Data'!B$17)</f>
        <v/>
      </c>
      <c r="J43" s="12" t="str">
        <f>IFERROR("$" &amp; VLOOKUP(I43,'Measure Data'!B:J,IF(isPublic,8,9),FALSE) &amp; "/" &amp; VLOOKUP(I43,'Measure Data'!B:K,10,FALSE),"")</f>
        <v/>
      </c>
      <c r="K43" s="293" t="str">
        <f>IFERROR(VLOOKUP(I43,'Measure Data'!B:J,IF(isPublic,8,9),FALSE)*B43*C43,"")</f>
        <v/>
      </c>
    </row>
    <row r="44" spans="2:11" ht="19" hidden="1" customHeight="1" outlineLevel="1" x14ac:dyDescent="0.35">
      <c r="B44" s="319"/>
      <c r="C44" s="320"/>
      <c r="D44" s="52"/>
      <c r="E44" s="697"/>
      <c r="F44" s="697"/>
      <c r="G44" s="697"/>
      <c r="H44" s="698"/>
      <c r="I44" s="10" t="str">
        <f>IF(ISBLANK(C44),"",'Measure Data'!B$17)</f>
        <v/>
      </c>
      <c r="J44" s="12" t="str">
        <f>IFERROR("$" &amp; VLOOKUP(I44,'Measure Data'!B:J,IF(isPublic,8,9),FALSE) &amp; "/" &amp; VLOOKUP(I44,'Measure Data'!B:K,10,FALSE),"")</f>
        <v/>
      </c>
      <c r="K44" s="293" t="str">
        <f>IFERROR(VLOOKUP(I44,'Measure Data'!B:J,IF(isPublic,8,9),FALSE)*B44*C44,"")</f>
        <v/>
      </c>
    </row>
    <row r="45" spans="2:11" ht="19" hidden="1" customHeight="1" outlineLevel="1" x14ac:dyDescent="0.35">
      <c r="B45" s="319"/>
      <c r="C45" s="320"/>
      <c r="D45" s="52"/>
      <c r="E45" s="697"/>
      <c r="F45" s="697"/>
      <c r="G45" s="697"/>
      <c r="H45" s="698"/>
      <c r="I45" s="10" t="str">
        <f>IF(ISBLANK(C45),"",'Measure Data'!B$17)</f>
        <v/>
      </c>
      <c r="J45" s="12" t="str">
        <f>IFERROR("$" &amp; VLOOKUP(I45,'Measure Data'!B:J,IF(isPublic,8,9),FALSE) &amp; "/" &amp; VLOOKUP(I45,'Measure Data'!B:K,10,FALSE),"")</f>
        <v/>
      </c>
      <c r="K45" s="293" t="str">
        <f>IFERROR(VLOOKUP(I45,'Measure Data'!B:J,IF(isPublic,8,9),FALSE)*B45*C45,"")</f>
        <v/>
      </c>
    </row>
    <row r="46" spans="2:11" ht="19" hidden="1" customHeight="1" outlineLevel="1" x14ac:dyDescent="0.35">
      <c r="B46" s="319"/>
      <c r="C46" s="320"/>
      <c r="D46" s="52"/>
      <c r="E46" s="697"/>
      <c r="F46" s="697"/>
      <c r="G46" s="697"/>
      <c r="H46" s="698"/>
      <c r="I46" s="10" t="str">
        <f>IF(ISBLANK(C46),"",'Measure Data'!B$17)</f>
        <v/>
      </c>
      <c r="J46" s="12" t="str">
        <f>IFERROR("$" &amp; VLOOKUP(I46,'Measure Data'!B:J,IF(isPublic,8,9),FALSE) &amp; "/" &amp; VLOOKUP(I46,'Measure Data'!B:K,10,FALSE),"")</f>
        <v/>
      </c>
      <c r="K46" s="293" t="str">
        <f>IFERROR(VLOOKUP(I46,'Measure Data'!B:J,IF(isPublic,8,9),FALSE)*B46*C46,"")</f>
        <v/>
      </c>
    </row>
    <row r="47" spans="2:11" collapsed="1" x14ac:dyDescent="0.35">
      <c r="B47" s="266" t="s">
        <v>739</v>
      </c>
      <c r="C47" s="2"/>
    </row>
    <row r="48" spans="2:11" x14ac:dyDescent="0.35">
      <c r="C48" s="2"/>
    </row>
    <row r="49" spans="2:22" ht="19" hidden="1" customHeight="1" x14ac:dyDescent="0.35">
      <c r="B49" s="692" t="str">
        <f>'Measure Data'!B20</f>
        <v>Infrared Heaters</v>
      </c>
      <c r="C49" s="693"/>
      <c r="D49" s="693"/>
      <c r="E49" s="693"/>
      <c r="F49" s="693"/>
      <c r="G49" s="693"/>
      <c r="H49" s="693"/>
      <c r="I49" s="693"/>
      <c r="J49" s="693"/>
      <c r="K49" s="693"/>
    </row>
    <row r="50" spans="2:22" ht="78" hidden="1" customHeight="1" x14ac:dyDescent="0.35">
      <c r="B50" s="712" t="str">
        <f>"      • Unit must be "&amp; 'Measure Data'!D22 &amp;" - "&amp; 'Measure Data'!E22 &amp;" kBtuh input
      • Heater must use natural gas (may be radiant tube or ceramic infrared type)"&amp;"
      • Must have an electric ignition"&amp;"
      • Must use outdoor or non-conditioned air for combustion"&amp;"
      • Outdoor installations do not qualify"</f>
        <v xml:space="preserve">      • Unit must be 20 - 250 kBtuh input
      • Heater must use natural gas (may be radiant tube or ceramic infrared type)
      • Must have an electric ignition
      • Must use outdoor or non-conditioned air for combustion
      • Outdoor installations do not qualify</v>
      </c>
      <c r="C50" s="713"/>
      <c r="D50" s="713"/>
      <c r="E50" s="713"/>
      <c r="F50" s="713"/>
      <c r="G50" s="713"/>
      <c r="H50" s="713"/>
      <c r="I50" s="713"/>
      <c r="J50" s="713"/>
      <c r="K50" s="714"/>
    </row>
    <row r="51" spans="2:22" ht="39" hidden="1" customHeight="1" x14ac:dyDescent="0.35">
      <c r="B51" s="279" t="s">
        <v>63</v>
      </c>
      <c r="C51" s="4" t="s">
        <v>110</v>
      </c>
      <c r="D51" s="708" t="s">
        <v>96</v>
      </c>
      <c r="E51" s="715"/>
      <c r="F51" s="715"/>
      <c r="G51" s="715"/>
      <c r="H51" s="709"/>
      <c r="I51" s="4" t="s">
        <v>62</v>
      </c>
      <c r="J51" s="4" t="s">
        <v>64</v>
      </c>
      <c r="K51" s="4" t="s">
        <v>65</v>
      </c>
    </row>
    <row r="52" spans="2:22" ht="18.649999999999999" hidden="1" customHeight="1" x14ac:dyDescent="0.35">
      <c r="B52" s="319"/>
      <c r="C52" s="303"/>
      <c r="D52" s="699"/>
      <c r="E52" s="722"/>
      <c r="F52" s="722"/>
      <c r="G52" s="722"/>
      <c r="H52" s="723"/>
      <c r="I52" s="10" t="str">
        <f>IF(ISBLANK(C52),"",'Measure Data'!B$22)</f>
        <v/>
      </c>
      <c r="J52" s="12" t="str">
        <f>IFERROR("$" &amp; VLOOKUP(I52,'Measure Data'!B:J,IF(isPublic,8,9),FALSE) &amp; "/" &amp; VLOOKUP(I52,'Measure Data'!B:K,10,FALSE),"")</f>
        <v/>
      </c>
      <c r="K52" s="14" t="str">
        <f>IFERROR(VLOOKUP(I52,'Measure Data'!B:J,IF(isPublic,8,9),FALSE)*B52,"")</f>
        <v/>
      </c>
    </row>
    <row r="53" spans="2:22" ht="18.649999999999999" hidden="1" customHeight="1" x14ac:dyDescent="0.35">
      <c r="B53" s="319"/>
      <c r="C53" s="320"/>
      <c r="D53" s="699"/>
      <c r="E53" s="700"/>
      <c r="F53" s="700"/>
      <c r="G53" s="700"/>
      <c r="H53" s="701"/>
      <c r="I53" s="10" t="str">
        <f>IF(ISBLANK(C53),"",'Measure Data'!B$22)</f>
        <v/>
      </c>
      <c r="J53" s="12" t="str">
        <f>IFERROR("$" &amp; VLOOKUP(I53,'Measure Data'!B:J,IF(isPublic,8,9),FALSE) &amp; "/" &amp; VLOOKUP(I53,'Measure Data'!B:K,10,FALSE),"")</f>
        <v/>
      </c>
      <c r="K53" s="14" t="str">
        <f>IFERROR(VLOOKUP(I53,'Measure Data'!B:J,IF(isPublic,8,9),FALSE)*B53,"")</f>
        <v/>
      </c>
    </row>
    <row r="54" spans="2:22" ht="18.649999999999999" hidden="1" customHeight="1" outlineLevel="1" x14ac:dyDescent="0.35">
      <c r="B54" s="319"/>
      <c r="C54" s="320"/>
      <c r="D54" s="699"/>
      <c r="E54" s="700"/>
      <c r="F54" s="700"/>
      <c r="G54" s="700"/>
      <c r="H54" s="701"/>
      <c r="I54" s="10" t="str">
        <f>IF(ISBLANK(C54),"",'Measure Data'!B$22)</f>
        <v/>
      </c>
      <c r="J54" s="12" t="str">
        <f>IFERROR("$" &amp; VLOOKUP(I54,'Measure Data'!B:J,IF(isPublic,8,9),FALSE) &amp; "/" &amp; VLOOKUP(I54,'Measure Data'!B:K,10,FALSE),"")</f>
        <v/>
      </c>
      <c r="K54" s="14" t="str">
        <f>IFERROR(VLOOKUP(I54,'Measure Data'!B:J,IF(isPublic,8,9),FALSE)*B54,"")</f>
        <v/>
      </c>
    </row>
    <row r="55" spans="2:22" ht="18.649999999999999" hidden="1" customHeight="1" outlineLevel="1" x14ac:dyDescent="0.35">
      <c r="B55" s="319"/>
      <c r="C55" s="320"/>
      <c r="D55" s="699"/>
      <c r="E55" s="700"/>
      <c r="F55" s="700"/>
      <c r="G55" s="700"/>
      <c r="H55" s="701"/>
      <c r="I55" s="10" t="str">
        <f>IF(ISBLANK(C55),"",'Measure Data'!B$22)</f>
        <v/>
      </c>
      <c r="J55" s="12" t="str">
        <f>IFERROR("$" &amp; VLOOKUP(I55,'Measure Data'!B:J,IF(isPublic,8,9),FALSE) &amp; "/" &amp; VLOOKUP(I55,'Measure Data'!B:K,10,FALSE),"")</f>
        <v/>
      </c>
      <c r="K55" s="14" t="str">
        <f>IFERROR(VLOOKUP(I55,'Measure Data'!B:J,IF(isPublic,8,9),FALSE)*B55,"")</f>
        <v/>
      </c>
    </row>
    <row r="56" spans="2:22" ht="18.649999999999999" hidden="1" customHeight="1" outlineLevel="1" x14ac:dyDescent="0.35">
      <c r="B56" s="319"/>
      <c r="C56" s="320"/>
      <c r="D56" s="699"/>
      <c r="E56" s="700"/>
      <c r="F56" s="700"/>
      <c r="G56" s="700"/>
      <c r="H56" s="701"/>
      <c r="I56" s="10" t="str">
        <f>IF(ISBLANK(C56),"",'Measure Data'!B$22)</f>
        <v/>
      </c>
      <c r="J56" s="12" t="str">
        <f>IFERROR("$" &amp; VLOOKUP(I56,'Measure Data'!B:J,IF(isPublic,8,9),FALSE) &amp; "/" &amp; VLOOKUP(I56,'Measure Data'!B:K,10,FALSE),"")</f>
        <v/>
      </c>
      <c r="K56" s="14" t="str">
        <f>IFERROR(VLOOKUP(I56,'Measure Data'!B:J,IF(isPublic,8,9),FALSE)*B56,"")</f>
        <v/>
      </c>
    </row>
    <row r="57" spans="2:22" ht="18.649999999999999" hidden="1" customHeight="1" outlineLevel="1" x14ac:dyDescent="0.35">
      <c r="B57" s="319"/>
      <c r="C57" s="320"/>
      <c r="D57" s="699"/>
      <c r="E57" s="700"/>
      <c r="F57" s="700"/>
      <c r="G57" s="700"/>
      <c r="H57" s="701"/>
      <c r="I57" s="10" t="str">
        <f>IF(ISBLANK(C57),"",'Measure Data'!B$22)</f>
        <v/>
      </c>
      <c r="J57" s="12" t="str">
        <f>IFERROR("$" &amp; VLOOKUP(I57,'Measure Data'!B:J,IF(isPublic,8,9),FALSE) &amp; "/" &amp; VLOOKUP(I57,'Measure Data'!B:K,10,FALSE),"")</f>
        <v/>
      </c>
      <c r="K57" s="14" t="str">
        <f>IFERROR(VLOOKUP(I57,'Measure Data'!B:J,IF(isPublic,8,9),FALSE)*B57,"")</f>
        <v/>
      </c>
    </row>
    <row r="58" spans="2:22" hidden="1" collapsed="1" x14ac:dyDescent="0.35">
      <c r="B58" s="266" t="s">
        <v>739</v>
      </c>
      <c r="C58" s="2"/>
    </row>
    <row r="59" spans="2:22" hidden="1" x14ac:dyDescent="0.35"/>
    <row r="60" spans="2:22" ht="19" customHeight="1" x14ac:dyDescent="0.35">
      <c r="B60" s="692" t="str">
        <f>'Measure Data'!B25</f>
        <v>Gas Boilers</v>
      </c>
      <c r="C60" s="693"/>
      <c r="D60" s="693"/>
      <c r="E60" s="693"/>
      <c r="F60" s="693"/>
      <c r="G60" s="693"/>
      <c r="H60" s="693"/>
      <c r="I60" s="693"/>
      <c r="J60" s="693"/>
      <c r="K60" s="693"/>
    </row>
    <row r="61" spans="2:22" ht="15" customHeight="1" x14ac:dyDescent="0.35">
      <c r="B61" s="710" t="s">
        <v>995</v>
      </c>
      <c r="C61" s="711"/>
      <c r="D61" s="711"/>
      <c r="E61" s="711"/>
      <c r="F61" s="711"/>
      <c r="G61" s="711"/>
      <c r="H61" s="711"/>
      <c r="I61" s="711"/>
      <c r="J61" s="711"/>
      <c r="K61" s="50"/>
    </row>
    <row r="62" spans="2:22" ht="15" customHeight="1" x14ac:dyDescent="0.35">
      <c r="B62" s="684" t="s">
        <v>1002</v>
      </c>
      <c r="C62" s="685"/>
      <c r="D62" s="685"/>
      <c r="E62" s="685"/>
      <c r="F62" s="685"/>
      <c r="G62" s="685"/>
      <c r="H62" s="685"/>
      <c r="I62" s="685"/>
      <c r="J62" s="685"/>
      <c r="K62" s="686"/>
    </row>
    <row r="63" spans="2:22" ht="15" customHeight="1" x14ac:dyDescent="0.35">
      <c r="B63" s="684" t="s">
        <v>996</v>
      </c>
      <c r="C63" s="685"/>
      <c r="D63" s="685"/>
      <c r="E63" s="685"/>
      <c r="F63" s="685"/>
      <c r="G63" s="685"/>
      <c r="H63" s="685"/>
      <c r="I63" s="685"/>
      <c r="J63" s="685"/>
      <c r="K63" s="686"/>
      <c r="M63" s="683"/>
      <c r="N63" s="683"/>
      <c r="O63" s="683"/>
      <c r="P63" s="683"/>
      <c r="Q63" s="683"/>
      <c r="R63" s="683"/>
      <c r="S63" s="683"/>
      <c r="T63" s="683"/>
      <c r="U63" s="683"/>
      <c r="V63" s="683"/>
    </row>
    <row r="64" spans="2:22" ht="38.15" customHeight="1" x14ac:dyDescent="0.35">
      <c r="B64" s="705" t="s">
        <v>598</v>
      </c>
      <c r="C64" s="706"/>
      <c r="D64" s="706"/>
      <c r="E64" s="706"/>
      <c r="F64" s="706"/>
      <c r="G64" s="706"/>
      <c r="H64" s="706"/>
      <c r="I64" s="706"/>
      <c r="J64" s="706"/>
      <c r="K64" s="707"/>
    </row>
    <row r="65" spans="2:11" ht="26" x14ac:dyDescent="0.35">
      <c r="B65" s="49" t="s">
        <v>63</v>
      </c>
      <c r="C65" s="49" t="s">
        <v>111</v>
      </c>
      <c r="D65" s="49" t="s">
        <v>593</v>
      </c>
      <c r="E65" s="394" t="s">
        <v>997</v>
      </c>
      <c r="F65" s="394" t="s">
        <v>96</v>
      </c>
      <c r="G65" s="708" t="s">
        <v>108</v>
      </c>
      <c r="H65" s="709"/>
      <c r="I65" s="49" t="s">
        <v>62</v>
      </c>
      <c r="J65" s="49" t="s">
        <v>64</v>
      </c>
      <c r="K65" s="49" t="s">
        <v>65</v>
      </c>
    </row>
    <row r="66" spans="2:11" ht="18.649999999999999" customHeight="1" x14ac:dyDescent="0.35">
      <c r="B66" s="319"/>
      <c r="C66" s="395"/>
      <c r="D66" s="393"/>
      <c r="E66" s="800"/>
      <c r="F66" s="313"/>
      <c r="G66" s="687" t="str">
        <f>IF(I66="","",IFERROR(LOOKUP(C66,'Measure Data'!D$27:D$32,'Measure Data'!C$27:C$32),""))</f>
        <v/>
      </c>
      <c r="H66" s="688"/>
      <c r="I66" s="15" t="str">
        <f>IF(OR(ISBLANK(C66),ISBLANK(D66)),"",IFERROR(LOOKUP(C66,'Measure Data'!D$27:D$32,'Measure Data'!B$27:B$31),""))</f>
        <v/>
      </c>
      <c r="J66" s="12" t="str">
        <f>IF(I66="INELIGIBLE","",IFERROR("$"&amp;VLOOKUP(G66,'Measure Data'!C$27:M$32,IF(isPublic,7,8),FALSE)&amp;"/"&amp;VLOOKUP(G66,'Measure Data'!C$27:M$32,9,FALSE),""))</f>
        <v/>
      </c>
      <c r="K66" s="14" t="str">
        <f>IF(ISBLANK(I66),"",IFERROR(VLOOKUP(G66,'Measure Data'!C$27:M$31,IF(isPublic,7,8),FALSE)*B66,""))</f>
        <v/>
      </c>
    </row>
    <row r="67" spans="2:11" ht="18.649999999999999" customHeight="1" x14ac:dyDescent="0.35">
      <c r="B67" s="319"/>
      <c r="C67" s="395"/>
      <c r="D67" s="393"/>
      <c r="E67" s="800"/>
      <c r="F67" s="313"/>
      <c r="G67" s="687" t="str">
        <f>IF(I67="","",IFERROR(LOOKUP(C67,'Measure Data'!D$27:D$32,'Measure Data'!C$27:C$32),""))</f>
        <v/>
      </c>
      <c r="H67" s="688"/>
      <c r="I67" s="15" t="str">
        <f>IF(OR(ISBLANK(C67),ISBLANK(D67)),"",IFERROR(LOOKUP(C67,'Measure Data'!D$27:D$32,'Measure Data'!B$27:B$31),""))</f>
        <v/>
      </c>
      <c r="J67" s="12" t="str">
        <f>IF(I67="INELIGIBLE","",IFERROR("$"&amp;VLOOKUP(G67,'Measure Data'!C$27:M$32,IF(isPublic,7,8),FALSE)&amp;"/"&amp;VLOOKUP(G67,'Measure Data'!C$27:M$32,9,FALSE),""))</f>
        <v/>
      </c>
      <c r="K67" s="14" t="str">
        <f>IF(ISBLANK(I67),"",IFERROR(VLOOKUP(G67,'Measure Data'!C$27:M$31,IF(isPublic,7,8),FALSE)*B67,""))</f>
        <v/>
      </c>
    </row>
    <row r="68" spans="2:11" ht="18.649999999999999" hidden="1" customHeight="1" outlineLevel="1" x14ac:dyDescent="0.35">
      <c r="B68" s="319"/>
      <c r="C68" s="395"/>
      <c r="D68" s="393"/>
      <c r="E68" s="800"/>
      <c r="F68" s="313"/>
      <c r="G68" s="687" t="str">
        <f>IF(I68="","",IFERROR(LOOKUP(C68,'Measure Data'!D$27:D$32,'Measure Data'!C$27:C$32),""))</f>
        <v/>
      </c>
      <c r="H68" s="688"/>
      <c r="I68" s="15" t="str">
        <f>IF(OR(ISBLANK(C68),ISBLANK(D68)),"",IFERROR(LOOKUP(C68,'Measure Data'!D$27:D$32,'Measure Data'!B$27:B$31),""))</f>
        <v/>
      </c>
      <c r="J68" s="12" t="str">
        <f>IF(I68="INELIGIBLE","",IFERROR("$"&amp;VLOOKUP(G68,'Measure Data'!C$27:M$32,IF(isPublic,7,8),FALSE)&amp;"/"&amp;VLOOKUP(G68,'Measure Data'!C$27:M$32,9,FALSE),""))</f>
        <v/>
      </c>
      <c r="K68" s="14" t="str">
        <f>IF(ISBLANK(I68),"",IFERROR(VLOOKUP(G68,'Measure Data'!C$27:M$31,IF(isPublic,7,8),FALSE)*B68,""))</f>
        <v/>
      </c>
    </row>
    <row r="69" spans="2:11" ht="18.649999999999999" hidden="1" customHeight="1" outlineLevel="1" x14ac:dyDescent="0.35">
      <c r="B69" s="319"/>
      <c r="C69" s="395"/>
      <c r="D69" s="393"/>
      <c r="E69" s="800"/>
      <c r="F69" s="313"/>
      <c r="G69" s="687" t="str">
        <f>IF(I69="","",IFERROR(LOOKUP(C69,'Measure Data'!D$27:D$32,'Measure Data'!C$27:C$32),""))</f>
        <v/>
      </c>
      <c r="H69" s="688"/>
      <c r="I69" s="15" t="str">
        <f>IF(OR(ISBLANK(C69),ISBLANK(D69)),"",IFERROR(LOOKUP(C69,'Measure Data'!D$27:D$32,'Measure Data'!B$27:B$31),""))</f>
        <v/>
      </c>
      <c r="J69" s="12" t="str">
        <f>IF(I69="INELIGIBLE","",IFERROR("$"&amp;VLOOKUP(G69,'Measure Data'!C$27:M$32,IF(isPublic,7,8),FALSE)&amp;"/"&amp;VLOOKUP(G69,'Measure Data'!C$27:M$32,9,FALSE),""))</f>
        <v/>
      </c>
      <c r="K69" s="14" t="str">
        <f>IF(ISBLANK(I69),"",IFERROR(VLOOKUP(G69,'Measure Data'!C$27:M$31,IF(isPublic,7,8),FALSE)*B69,""))</f>
        <v/>
      </c>
    </row>
    <row r="70" spans="2:11" ht="18.649999999999999" hidden="1" customHeight="1" outlineLevel="1" x14ac:dyDescent="0.35">
      <c r="B70" s="319"/>
      <c r="C70" s="395"/>
      <c r="D70" s="393"/>
      <c r="E70" s="800"/>
      <c r="F70" s="313"/>
      <c r="G70" s="687" t="str">
        <f>IF(I70="","",IFERROR(LOOKUP(C70,'Measure Data'!D$27:D$32,'Measure Data'!C$27:C$32),""))</f>
        <v/>
      </c>
      <c r="H70" s="688"/>
      <c r="I70" s="15" t="str">
        <f>IF(OR(ISBLANK(C70),ISBLANK(D70)),"",IFERROR(LOOKUP(C70,'Measure Data'!D$27:D$32,'Measure Data'!B$27:B$31),""))</f>
        <v/>
      </c>
      <c r="J70" s="12" t="str">
        <f>IF(I70="INELIGIBLE","",IFERROR("$"&amp;VLOOKUP(G70,'Measure Data'!C$27:M$32,IF(isPublic,7,8),FALSE)&amp;"/"&amp;VLOOKUP(G70,'Measure Data'!C$27:M$32,9,FALSE),""))</f>
        <v/>
      </c>
      <c r="K70" s="14" t="str">
        <f>IF(ISBLANK(I70),"",IFERROR(VLOOKUP(G70,'Measure Data'!C$27:M$31,IF(isPublic,7,8),FALSE)*B70,""))</f>
        <v/>
      </c>
    </row>
    <row r="71" spans="2:11" ht="18.649999999999999" hidden="1" customHeight="1" outlineLevel="1" x14ac:dyDescent="0.35">
      <c r="B71" s="319"/>
      <c r="C71" s="395"/>
      <c r="D71" s="393"/>
      <c r="E71" s="800"/>
      <c r="F71" s="313"/>
      <c r="G71" s="687" t="str">
        <f>IF(I71="","",IFERROR(LOOKUP(C71,'Measure Data'!D$27:D$32,'Measure Data'!C$27:C$32),""))</f>
        <v/>
      </c>
      <c r="H71" s="688"/>
      <c r="I71" s="15" t="str">
        <f>IF(OR(ISBLANK(C71),ISBLANK(D71)),"",IFERROR(LOOKUP(C71,'Measure Data'!D$27:D$32,'Measure Data'!B$27:B$31),""))</f>
        <v/>
      </c>
      <c r="J71" s="12" t="str">
        <f>IF(I71="INELIGIBLE","",IFERROR("$"&amp;VLOOKUP(G71,'Measure Data'!C$27:M$32,IF(isPublic,7,8),FALSE)&amp;"/"&amp;VLOOKUP(G71,'Measure Data'!C$27:M$32,9,FALSE),""))</f>
        <v/>
      </c>
      <c r="K71" s="14" t="str">
        <f>IF(ISBLANK(I71),"",IFERROR(VLOOKUP(G71,'Measure Data'!C$27:M$31,IF(isPublic,7,8),FALSE)*B71,""))</f>
        <v/>
      </c>
    </row>
    <row r="72" spans="2:11" ht="18.649999999999999" hidden="1" customHeight="1" outlineLevel="1" x14ac:dyDescent="0.35">
      <c r="B72" s="319"/>
      <c r="C72" s="395"/>
      <c r="D72" s="393"/>
      <c r="E72" s="800"/>
      <c r="F72" s="313"/>
      <c r="G72" s="687" t="str">
        <f>IF(I72="","",IFERROR(LOOKUP(C72,'Measure Data'!D$27:D$32,'Measure Data'!C$27:C$32),""))</f>
        <v/>
      </c>
      <c r="H72" s="688"/>
      <c r="I72" s="15" t="str">
        <f>IF(OR(ISBLANK(C72),ISBLANK(D72)),"",IFERROR(LOOKUP(C72,'Measure Data'!D$27:D$32,'Measure Data'!B$27:B$31),""))</f>
        <v/>
      </c>
      <c r="J72" s="12" t="str">
        <f>IF(I72="INELIGIBLE","",IFERROR("$"&amp;VLOOKUP(G72,'Measure Data'!C$27:M$32,IF(isPublic,7,8),FALSE)&amp;"/"&amp;VLOOKUP(G72,'Measure Data'!C$27:M$32,9,FALSE),""))</f>
        <v/>
      </c>
      <c r="K72" s="14" t="str">
        <f>IF(ISBLANK(I72),"",IFERROR(VLOOKUP(G72,'Measure Data'!C$27:M$31,IF(isPublic,7,8),FALSE)*B72,""))</f>
        <v/>
      </c>
    </row>
    <row r="73" spans="2:11" ht="18.649999999999999" hidden="1" customHeight="1" outlineLevel="1" x14ac:dyDescent="0.35">
      <c r="B73" s="319"/>
      <c r="C73" s="395"/>
      <c r="D73" s="393"/>
      <c r="E73" s="800"/>
      <c r="F73" s="313"/>
      <c r="G73" s="687" t="str">
        <f>IF(I73="","",IFERROR(LOOKUP(C73,'Measure Data'!D$27:D$32,'Measure Data'!C$27:C$32),""))</f>
        <v/>
      </c>
      <c r="H73" s="688"/>
      <c r="I73" s="15" t="str">
        <f>IF(OR(ISBLANK(C73),ISBLANK(D73)),"",IFERROR(LOOKUP(C73,'Measure Data'!D$27:D$32,'Measure Data'!B$27:B$31),""))</f>
        <v/>
      </c>
      <c r="J73" s="12" t="str">
        <f>IF(I73="INELIGIBLE","",IFERROR("$"&amp;VLOOKUP(G73,'Measure Data'!C$27:M$32,IF(isPublic,7,8),FALSE)&amp;"/"&amp;VLOOKUP(G73,'Measure Data'!C$27:M$32,9,FALSE),""))</f>
        <v/>
      </c>
      <c r="K73" s="14" t="str">
        <f>IF(ISBLANK(I73),"",IFERROR(VLOOKUP(G73,'Measure Data'!C$27:M$31,IF(isPublic,7,8),FALSE)*B73,""))</f>
        <v/>
      </c>
    </row>
    <row r="74" spans="2:11" ht="18.649999999999999" hidden="1" customHeight="1" outlineLevel="1" x14ac:dyDescent="0.35">
      <c r="B74" s="319"/>
      <c r="C74" s="395"/>
      <c r="D74" s="393"/>
      <c r="E74" s="800"/>
      <c r="F74" s="313"/>
      <c r="G74" s="687" t="str">
        <f>IF(I74="","",IFERROR(LOOKUP(C74,'Measure Data'!D$27:D$32,'Measure Data'!C$27:C$32),""))</f>
        <v/>
      </c>
      <c r="H74" s="688"/>
      <c r="I74" s="15" t="str">
        <f>IF(OR(ISBLANK(C74),ISBLANK(D74)),"",IFERROR(LOOKUP(C74,'Measure Data'!D$27:D$32,'Measure Data'!B$27:B$31),""))</f>
        <v/>
      </c>
      <c r="J74" s="12" t="str">
        <f>IF(I74="INELIGIBLE","",IFERROR("$"&amp;VLOOKUP(G74,'Measure Data'!C$27:M$32,IF(isPublic,7,8),FALSE)&amp;"/"&amp;VLOOKUP(G74,'Measure Data'!C$27:M$32,9,FALSE),""))</f>
        <v/>
      </c>
      <c r="K74" s="14" t="str">
        <f>IF(ISBLANK(I74),"",IFERROR(VLOOKUP(G74,'Measure Data'!C$27:M$31,IF(isPublic,7,8),FALSE)*B74,""))</f>
        <v/>
      </c>
    </row>
    <row r="75" spans="2:11" ht="18.649999999999999" hidden="1" customHeight="1" outlineLevel="1" x14ac:dyDescent="0.35">
      <c r="B75" s="319"/>
      <c r="C75" s="395"/>
      <c r="D75" s="393"/>
      <c r="E75" s="800"/>
      <c r="F75" s="313"/>
      <c r="G75" s="687" t="str">
        <f>IF(I75="","",IFERROR(LOOKUP(C75,'Measure Data'!D$27:D$32,'Measure Data'!C$27:C$32),""))</f>
        <v/>
      </c>
      <c r="H75" s="688"/>
      <c r="I75" s="15" t="str">
        <f>IF(OR(ISBLANK(C75),ISBLANK(D75)),"",IFERROR(LOOKUP(C75,'Measure Data'!D$27:D$32,'Measure Data'!B$27:B$31),""))</f>
        <v/>
      </c>
      <c r="J75" s="12" t="str">
        <f>IF(I75="INELIGIBLE","",IFERROR("$"&amp;VLOOKUP(G75,'Measure Data'!C$27:M$32,IF(isPublic,7,8),FALSE)&amp;"/"&amp;VLOOKUP(G75,'Measure Data'!C$27:M$32,9,FALSE),""))</f>
        <v/>
      </c>
      <c r="K75" s="14" t="str">
        <f>IF(ISBLANK(I75),"",IFERROR(VLOOKUP(G75,'Measure Data'!C$27:M$31,IF(isPublic,7,8),FALSE)*B75,""))</f>
        <v/>
      </c>
    </row>
    <row r="76" spans="2:11" collapsed="1" x14ac:dyDescent="0.35">
      <c r="B76" s="266" t="s">
        <v>739</v>
      </c>
    </row>
    <row r="79" spans="2:11" ht="15.5" x14ac:dyDescent="0.35">
      <c r="B79" s="692" t="s">
        <v>196</v>
      </c>
      <c r="C79" s="693"/>
      <c r="D79" s="693"/>
      <c r="E79" s="693"/>
      <c r="F79" s="693"/>
      <c r="G79" s="693"/>
      <c r="H79" s="693"/>
      <c r="I79" s="693"/>
      <c r="J79" s="693"/>
      <c r="K79" s="693"/>
    </row>
  </sheetData>
  <sheetProtection selectLockedCells="1"/>
  <mergeCells count="55">
    <mergeCell ref="B50:K50"/>
    <mergeCell ref="D51:H51"/>
    <mergeCell ref="D52:H52"/>
    <mergeCell ref="D53:H53"/>
    <mergeCell ref="D54:H54"/>
    <mergeCell ref="B2:K2"/>
    <mergeCell ref="B10:K10"/>
    <mergeCell ref="F25:H25"/>
    <mergeCell ref="G13:H13"/>
    <mergeCell ref="G15:H15"/>
    <mergeCell ref="G16:H16"/>
    <mergeCell ref="G17:H17"/>
    <mergeCell ref="B63:K63"/>
    <mergeCell ref="B61:J61"/>
    <mergeCell ref="G18:H18"/>
    <mergeCell ref="E40:H40"/>
    <mergeCell ref="E41:H41"/>
    <mergeCell ref="E42:H42"/>
    <mergeCell ref="B36:K36"/>
    <mergeCell ref="B37:K37"/>
    <mergeCell ref="E38:H38"/>
    <mergeCell ref="E39:H39"/>
    <mergeCell ref="B23:K23"/>
    <mergeCell ref="B24:K24"/>
    <mergeCell ref="D55:H55"/>
    <mergeCell ref="E45:H45"/>
    <mergeCell ref="E46:H46"/>
    <mergeCell ref="B49:K49"/>
    <mergeCell ref="B79:K79"/>
    <mergeCell ref="B64:K64"/>
    <mergeCell ref="G65:H65"/>
    <mergeCell ref="G66:H66"/>
    <mergeCell ref="G67:H67"/>
    <mergeCell ref="G68:H68"/>
    <mergeCell ref="G70:H70"/>
    <mergeCell ref="G71:H71"/>
    <mergeCell ref="G72:H72"/>
    <mergeCell ref="G73:H73"/>
    <mergeCell ref="G74:H74"/>
    <mergeCell ref="M63:V63"/>
    <mergeCell ref="B62:K62"/>
    <mergeCell ref="G75:H75"/>
    <mergeCell ref="B3:K7"/>
    <mergeCell ref="B9:K9"/>
    <mergeCell ref="G69:H69"/>
    <mergeCell ref="B60:K60"/>
    <mergeCell ref="G14:H14"/>
    <mergeCell ref="G19:H19"/>
    <mergeCell ref="G20:H20"/>
    <mergeCell ref="B12:K12"/>
    <mergeCell ref="E43:H43"/>
    <mergeCell ref="E44:H44"/>
    <mergeCell ref="D57:H57"/>
    <mergeCell ref="B11:K11"/>
    <mergeCell ref="D56:H56"/>
  </mergeCells>
  <dataValidations count="3">
    <dataValidation type="decimal" allowBlank="1" showInputMessage="1" showErrorMessage="1" error="Value must be a number between 40 - 225" sqref="C14:C20" xr:uid="{00000000-0002-0000-0800-000000000000}">
      <formula1>40</formula1>
      <formula2>225.9</formula2>
    </dataValidation>
    <dataValidation type="decimal" allowBlank="1" showInputMessage="1" showErrorMessage="1" error="Value must be a percent at least 94% (you may need to type the percent symbol)" sqref="D14:D20" xr:uid="{00000000-0002-0000-0800-000001000000}">
      <formula1>0.94</formula1>
      <formula2>1</formula2>
    </dataValidation>
    <dataValidation type="decimal" allowBlank="1" showInputMessage="1" showErrorMessage="1" error="Value must be a number 20 - 250" sqref="C52:C57" xr:uid="{00000000-0002-0000-0800-000002000000}">
      <formula1>20</formula1>
      <formula2>250.9</formula2>
    </dataValidation>
  </dataValidations>
  <hyperlinks>
    <hyperlink ref="B11" r:id="rId1" display="https://www.ahridirectory.org/Search/SearchHome" xr:uid="{00000000-0004-0000-0800-000000000000}"/>
  </hyperlinks>
  <pageMargins left="0.7" right="0.7" top="0.75" bottom="0.75" header="0.3" footer="0.3"/>
  <pageSetup orientation="portrait" horizontalDpi="1200" verticalDpi="1200" r:id="rId2"/>
  <headerFooter>
    <oddHeader>&amp;C&amp;"Arial"&amp;9&amp;K000000Leidos Proprietary&amp;1#</oddHeader>
    <oddFooter>&amp;C&amp;1#&amp;"Arial"&amp;8&amp;K000000The information in this document is proprietary to Leidos. It may not be used, reproduced, disclosed, or exported without the written approval of Leidos.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Please select from the drop-down list. (click on the cell, then click on the downward triangle to the right of the cell)" xr:uid="{00000000-0002-0000-0800-000004000000}">
          <x14:formula1>
            <xm:f>'Measure Data'!$M$11:$M$14</xm:f>
          </x14:formula1>
          <xm:sqref>E26:E33</xm:sqref>
        </x14:dataValidation>
        <x14:dataValidation type="list" allowBlank="1" showInputMessage="1" showErrorMessage="1" error="Please select from the drop-down list. (click on the cell, then click on the downward triangle to the right of the cell)" xr:uid="{00000000-0002-0000-0800-000005000000}">
          <x14:formula1>
            <xm:f>'Measure Data'!$M$5:$M$6</xm:f>
          </x14:formula1>
          <xm:sqref>E14:E20</xm:sqref>
        </x14:dataValidation>
        <x14:dataValidation type="list" allowBlank="1" showInputMessage="1" showErrorMessage="1" error="Please select from the drop-down list. (click on the cell, then click on the downward triangle to the right of the cell)" xr:uid="{00000000-0002-0000-0800-000006000000}">
          <x14:formula1>
            <xm:f>'Measure Data'!$M$27:$M$28</xm:f>
          </x14:formula1>
          <xm:sqref>D66:D75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TEVJRE9TLUNPUlBcd2lsc29udzM8L1VzZXJOYW1lPjxEYXRlVGltZT4yLzIwLzIwMjAgNTo0Njo0NiBQTTwvRGF0ZVRpbWU+PExhYmVsU3RyaW5nPkxlaWRvcyBQcm9wcmlldGFyeTwvTGFiZWxTdHJpbmc+PC9pdGVtPjxpdGVtPjxzaXNsIHNpc2xWZXJzaW9uPSIwIiBwb2xpY3k9ImM4ZDU3NjBlLTYzOGEtNDdlOC05ZTJlLTEyMjZjMmNiMjY4ZCIgb3JpZ2luPSJhdXRvU2VsZWN0ZWRTdWdnZXN0aW9uIj48ZWxlbWVudCB1aWQ9IjZlOWQxYzNhLWRhYTItNDNlYy04MmJiLTc2NTI3MjNjZWQ0NCIgdmFsdWU9IiIgeG1sbnM9Imh0dHA6Ly93d3cuYm9sZG9uamFtZXMuY29tLzIwMDgvMDEvc2llL2ludGVybmFsL2xhYmVsIiAvPjxlbGVtZW50IHVpZD0iZmY2ZjYwYzQtZDE4YS00MGQxLTk5Y2EtMzM4MmJkNGY4ZDE2IiB2YWx1ZT0iIiB4bWxucz0iaHR0cDovL3d3dy5ib2xkb25qYW1lcy5jb20vMjAwOC8wMS9zaWUvaW50ZXJuYWwvbGFiZWwiIC8+PC9zaXNsPjxVc2VyTmFtZT5MRUlET1MtQ09SUFx3aWxzb253MzwvVXNlck5hbWU+PERhdGVUaW1lPjQvMjcvMjAyMiA5OjEyOjE1IFBNPC9EYXRlVGltZT48TGFiZWxTdHJpbmc+TTM2NSBNYXJrZWQgLSBMZWlkb3MgUHJvcHJpZXRhcnk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c8d5760e-638a-47e8-9e2e-1226c2cb268d" origin="autoSelectedSuggestion">
  <element uid="6e9d1c3a-daa2-43ec-82bb-7652723ced44" value=""/>
  <element uid="ff6f60c4-d18a-40d1-99ca-3382bd4f8d16" value=""/>
</sisl>
</file>

<file path=customXml/itemProps1.xml><?xml version="1.0" encoding="utf-8"?>
<ds:datastoreItem xmlns:ds="http://schemas.openxmlformats.org/officeDocument/2006/customXml" ds:itemID="{8C6F6A81-43BA-4D7A-9E44-D8CAB8A5BBD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9044681C-1209-4405-A8F2-321B672AE84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74</vt:i4>
      </vt:variant>
    </vt:vector>
  </HeadingPairs>
  <TitlesOfParts>
    <vt:vector size="92" baseType="lpstr">
      <vt:lpstr>INSTRUCTIONS</vt:lpstr>
      <vt:lpstr>TERMS AND CONDITIONS</vt:lpstr>
      <vt:lpstr>AGREEMENT</vt:lpstr>
      <vt:lpstr>PROJECT INFO</vt:lpstr>
      <vt:lpstr>SUMMARY</vt:lpstr>
      <vt:lpstr>Lighting-Step1</vt:lpstr>
      <vt:lpstr>Lighting-Step2</vt:lpstr>
      <vt:lpstr>Lighting-Step3</vt:lpstr>
      <vt:lpstr>HVAC-Heating</vt:lpstr>
      <vt:lpstr>HVAC-Cooling</vt:lpstr>
      <vt:lpstr>Hot Water</vt:lpstr>
      <vt:lpstr>Custom-Electric</vt:lpstr>
      <vt:lpstr>Custom-Gas</vt:lpstr>
      <vt:lpstr>Custom-Water</vt:lpstr>
      <vt:lpstr>Hospitality</vt:lpstr>
      <vt:lpstr>Refrigeration</vt:lpstr>
      <vt:lpstr>Industrial</vt:lpstr>
      <vt:lpstr>Measure Data</vt:lpstr>
      <vt:lpstr>AreaSize</vt:lpstr>
      <vt:lpstr>AreaUnit</vt:lpstr>
      <vt:lpstr>CabinetSizes</vt:lpstr>
      <vt:lpstr>CF</vt:lpstr>
      <vt:lpstr>ControlTypes</vt:lpstr>
      <vt:lpstr>Cooling</vt:lpstr>
      <vt:lpstr>DemandSavings</vt:lpstr>
      <vt:lpstr>DesignPhase</vt:lpstr>
      <vt:lpstr>EFLH_actual</vt:lpstr>
      <vt:lpstr>EFLH_deemed</vt:lpstr>
      <vt:lpstr>ElectricPans</vt:lpstr>
      <vt:lpstr>ESFb</vt:lpstr>
      <vt:lpstr>ESFee</vt:lpstr>
      <vt:lpstr>ESFtable</vt:lpstr>
      <vt:lpstr>ExteriorLoad</vt:lpstr>
      <vt:lpstr>ExteriorTable</vt:lpstr>
      <vt:lpstr>ExteriorTypes</vt:lpstr>
      <vt:lpstr>FacilityTypes</vt:lpstr>
      <vt:lpstr>FixtureNum</vt:lpstr>
      <vt:lpstr>FixtureNumbers</vt:lpstr>
      <vt:lpstr>FixtureTable</vt:lpstr>
      <vt:lpstr>FixtureTypes</vt:lpstr>
      <vt:lpstr>Floor</vt:lpstr>
      <vt:lpstr>GasPans</vt:lpstr>
      <vt:lpstr>Heating</vt:lpstr>
      <vt:lpstr>HospitalitySubcategories</vt:lpstr>
      <vt:lpstr>HVACsystem</vt:lpstr>
      <vt:lpstr>ineligibleExteriorKWee</vt:lpstr>
      <vt:lpstr>ineligibleInteriorKWee</vt:lpstr>
      <vt:lpstr>InOrOut</vt:lpstr>
      <vt:lpstr>Installation</vt:lpstr>
      <vt:lpstr>InteriorCooling</vt:lpstr>
      <vt:lpstr>InteriorHeating</vt:lpstr>
      <vt:lpstr>InteriorLoad</vt:lpstr>
      <vt:lpstr>InteriorTable</vt:lpstr>
      <vt:lpstr>InteriorTypes</vt:lpstr>
      <vt:lpstr>IntExt</vt:lpstr>
      <vt:lpstr>isCustomPublic</vt:lpstr>
      <vt:lpstr>isDS2</vt:lpstr>
      <vt:lpstr>isEligible</vt:lpstr>
      <vt:lpstr>isGS2</vt:lpstr>
      <vt:lpstr>isPublic</vt:lpstr>
      <vt:lpstr>kAlt</vt:lpstr>
      <vt:lpstr>kLimit</vt:lpstr>
      <vt:lpstr>kWbase</vt:lpstr>
      <vt:lpstr>kWee</vt:lpstr>
      <vt:lpstr>kWhSavings</vt:lpstr>
      <vt:lpstr>LightingRate</vt:lpstr>
      <vt:lpstr>LightingZone</vt:lpstr>
      <vt:lpstr>Location</vt:lpstr>
      <vt:lpstr>LPDb</vt:lpstr>
      <vt:lpstr>NewExisting</vt:lpstr>
      <vt:lpstr>AGREEMENT!Print_Area</vt:lpstr>
      <vt:lpstr>INSTRUCTIONS!Print_Area</vt:lpstr>
      <vt:lpstr>privElec</vt:lpstr>
      <vt:lpstr>privGas</vt:lpstr>
      <vt:lpstr>privWat</vt:lpstr>
      <vt:lpstr>PropControlType</vt:lpstr>
      <vt:lpstr>ProposedQty</vt:lpstr>
      <vt:lpstr>pubElec</vt:lpstr>
      <vt:lpstr>pubGas</vt:lpstr>
      <vt:lpstr>pubWat</vt:lpstr>
      <vt:lpstr>Sector</vt:lpstr>
      <vt:lpstr>Sector2</vt:lpstr>
      <vt:lpstr>SpaceType</vt:lpstr>
      <vt:lpstr>sqft</vt:lpstr>
      <vt:lpstr>sumExteriorKWee</vt:lpstr>
      <vt:lpstr>sumInteriorKWee</vt:lpstr>
      <vt:lpstr>tAlt</vt:lpstr>
      <vt:lpstr>TierTable</vt:lpstr>
      <vt:lpstr>tLimit</vt:lpstr>
      <vt:lpstr>WHFd</vt:lpstr>
      <vt:lpstr>WHFe</vt:lpstr>
      <vt:lpstr>WperFixture</vt:lpstr>
    </vt:vector>
  </TitlesOfParts>
  <Company>Leidos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Will [US-US]</dc:creator>
  <cp:lastModifiedBy>Wilson, Will [US-US]</cp:lastModifiedBy>
  <cp:lastPrinted>2021-09-01T14:53:34Z</cp:lastPrinted>
  <dcterms:created xsi:type="dcterms:W3CDTF">2020-02-20T17:46:37Z</dcterms:created>
  <dcterms:modified xsi:type="dcterms:W3CDTF">2024-01-15T21:21:00Z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fc34be6c-8797-4c21-9b7f-93f8f88e2cda</vt:lpwstr>
  </property>
  <property fmtid="{D5CDD505-2E9C-101B-9397-08002B2CF9AE}" pid="3" name="bjSaver">
    <vt:lpwstr>Rzz6+bc95MbF2ZO0+V1bbe/NB3upxgCf</vt:lpwstr>
  </property>
  <property fmtid="{D5CDD505-2E9C-101B-9397-08002B2CF9AE}" pid="4" name="bjDocumentLabelXML">
    <vt:lpwstr>&lt;?xml version="1.0" encoding="us-ascii"?&gt;&lt;sisl xmlns:xsd="http://www.w3.org/2001/XMLSchema" xmlns:xsi="http://www.w3.org/2001/XMLSchema-instance" sislVersion="0" policy="c8d5760e-638a-47e8-9e2e-1226c2cb268d" origin="autoSelectedSuggestion" xmlns="http://w</vt:lpwstr>
  </property>
  <property fmtid="{D5CDD505-2E9C-101B-9397-08002B2CF9AE}" pid="5" name="bjDocumentLabelXML-0">
    <vt:lpwstr>ww.boldonjames.com/2008/01/sie/internal/label"&gt;&lt;element uid="6e9d1c3a-daa2-43ec-82bb-7652723ced44" value="" /&gt;&lt;element uid="ff6f60c4-d18a-40d1-99ca-3382bd4f8d16" value="" /&gt;&lt;/sisl&gt;</vt:lpwstr>
  </property>
  <property fmtid="{D5CDD505-2E9C-101B-9397-08002B2CF9AE}" pid="6" name="bjDocumentSecurityLabel">
    <vt:lpwstr>M365 Marked - Leidos Proprietary</vt:lpwstr>
  </property>
  <property fmtid="{D5CDD505-2E9C-101B-9397-08002B2CF9AE}" pid="7" name="bjLabelHistoryID">
    <vt:lpwstr>{8C6F6A81-43BA-4D7A-9E44-D8CAB8A5BBD2}</vt:lpwstr>
  </property>
  <property fmtid="{D5CDD505-2E9C-101B-9397-08002B2CF9AE}" pid="8" name="MSIP_Label_e9182208-fc20-436a-a999-9f7d673923e8_Enabled">
    <vt:lpwstr>true</vt:lpwstr>
  </property>
  <property fmtid="{D5CDD505-2E9C-101B-9397-08002B2CF9AE}" pid="9" name="MSIP_Label_e9182208-fc20-436a-a999-9f7d673923e8_SetDate">
    <vt:lpwstr>2023-01-03T18:12:08Z</vt:lpwstr>
  </property>
  <property fmtid="{D5CDD505-2E9C-101B-9397-08002B2CF9AE}" pid="10" name="MSIP_Label_e9182208-fc20-436a-a999-9f7d673923e8_Method">
    <vt:lpwstr>Standard</vt:lpwstr>
  </property>
  <property fmtid="{D5CDD505-2E9C-101B-9397-08002B2CF9AE}" pid="11" name="MSIP_Label_e9182208-fc20-436a-a999-9f7d673923e8_Name">
    <vt:lpwstr>Leidos Proprietary</vt:lpwstr>
  </property>
  <property fmtid="{D5CDD505-2E9C-101B-9397-08002B2CF9AE}" pid="12" name="MSIP_Label_e9182208-fc20-436a-a999-9f7d673923e8_SiteId">
    <vt:lpwstr>b64da4ac-e800-4cfc-8931-e607f720a1b8</vt:lpwstr>
  </property>
  <property fmtid="{D5CDD505-2E9C-101B-9397-08002B2CF9AE}" pid="13" name="MSIP_Label_e9182208-fc20-436a-a999-9f7d673923e8_ActionId">
    <vt:lpwstr>50036ccf-b56c-4560-b482-054c674a25f2</vt:lpwstr>
  </property>
  <property fmtid="{D5CDD505-2E9C-101B-9397-08002B2CF9AE}" pid="14" name="MSIP_Label_e9182208-fc20-436a-a999-9f7d673923e8_ContentBits">
    <vt:lpwstr>3</vt:lpwstr>
  </property>
</Properties>
</file>